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13_ncr:1_{2AE9B225-4D1E-4B0E-82BC-B60D6AE74693}" xr6:coauthVersionLast="47" xr6:coauthVersionMax="47" xr10:uidLastSave="{00000000-0000-0000-0000-000000000000}"/>
  <bookViews>
    <workbookView xWindow="-120" yWindow="-120" windowWidth="29040" windowHeight="15840" tabRatio="599" xr2:uid="{4DC4FA74-4D6A-44D4-BAE0-3121E32C6B84}"/>
  </bookViews>
  <sheets>
    <sheet name="A. Celkové výdaje" sheetId="9" r:id="rId1"/>
    <sheet name="B. Institucionální podpora" sheetId="2" r:id="rId2"/>
    <sheet name="C. Účelová podpora" sheetId="8" r:id="rId3"/>
  </sheets>
  <definedNames>
    <definedName name="_xlnm.Print_Titles" localSheetId="1">'B. Institucionální podpora'!$58:$63</definedName>
    <definedName name="_xlnm.Print_Area" localSheetId="0">'A. Celkové výdaje'!$A$2:$BJ$33</definedName>
    <definedName name="_xlnm.Print_Area" localSheetId="1">'B. Institucionální podpora'!$A$1:$AC$88</definedName>
    <definedName name="_xlnm.Print_Area" localSheetId="2">'C. Účelová podpora'!$A$1:$AC$112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60" i="8" l="1"/>
  <c r="BM11" i="9"/>
  <c r="BM23" i="9"/>
  <c r="AC84" i="8"/>
  <c r="U84" i="8"/>
  <c r="AC82" i="8"/>
  <c r="AC81" i="8"/>
  <c r="AC80" i="8"/>
  <c r="AC79" i="8"/>
  <c r="AC78" i="8"/>
  <c r="AC77" i="8"/>
  <c r="AC76" i="8"/>
  <c r="AC75" i="8"/>
  <c r="AC74" i="8"/>
  <c r="AC73" i="8"/>
  <c r="AC72" i="8"/>
  <c r="AC71" i="8"/>
  <c r="AC70" i="8"/>
  <c r="AC69" i="8"/>
  <c r="AC68" i="8"/>
  <c r="AC67" i="8"/>
  <c r="AC66" i="8"/>
  <c r="AC65" i="8"/>
  <c r="AC63" i="8"/>
  <c r="AC61" i="8"/>
  <c r="AC59" i="8"/>
  <c r="AC58" i="8"/>
  <c r="AC57" i="8"/>
  <c r="AC56" i="8"/>
  <c r="AC55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3" i="8"/>
  <c r="AC22" i="8"/>
  <c r="AC21" i="8"/>
  <c r="AC20" i="8"/>
  <c r="AC19" i="8"/>
  <c r="AC18" i="8"/>
  <c r="AC17" i="8"/>
  <c r="AC16" i="8"/>
  <c r="AC15" i="8"/>
  <c r="AC13" i="8"/>
  <c r="AC12" i="8"/>
  <c r="AC11" i="8"/>
  <c r="AC10" i="8"/>
  <c r="AC8" i="8"/>
  <c r="U82" i="8"/>
  <c r="U81" i="8"/>
  <c r="U80" i="8"/>
  <c r="U79" i="8"/>
  <c r="U78" i="8"/>
  <c r="U77" i="8"/>
  <c r="U76" i="8"/>
  <c r="U75" i="8"/>
  <c r="U74" i="8"/>
  <c r="U73" i="8"/>
  <c r="U72" i="8"/>
  <c r="U71" i="8"/>
  <c r="U70" i="8"/>
  <c r="U69" i="8"/>
  <c r="U68" i="8"/>
  <c r="U67" i="8"/>
  <c r="U66" i="8"/>
  <c r="U65" i="8"/>
  <c r="U63" i="8"/>
  <c r="U61" i="8"/>
  <c r="U59" i="8"/>
  <c r="U58" i="8"/>
  <c r="U57" i="8"/>
  <c r="U56" i="8"/>
  <c r="U55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3" i="8"/>
  <c r="U22" i="8"/>
  <c r="U21" i="8"/>
  <c r="U20" i="8"/>
  <c r="U19" i="8"/>
  <c r="U18" i="8"/>
  <c r="U17" i="8"/>
  <c r="U16" i="8"/>
  <c r="U15" i="8"/>
  <c r="U13" i="8"/>
  <c r="U12" i="8"/>
  <c r="U11" i="8"/>
  <c r="U10" i="8"/>
  <c r="U8" i="8"/>
  <c r="L74" i="8"/>
  <c r="L66" i="8"/>
  <c r="L84" i="8"/>
  <c r="L82" i="8"/>
  <c r="L81" i="8"/>
  <c r="L76" i="8"/>
  <c r="L77" i="8"/>
  <c r="L78" i="8"/>
  <c r="L79" i="8"/>
  <c r="L80" i="8"/>
  <c r="L75" i="8"/>
  <c r="L68" i="8"/>
  <c r="L69" i="8"/>
  <c r="L70" i="8"/>
  <c r="L71" i="8"/>
  <c r="L72" i="8"/>
  <c r="L73" i="8"/>
  <c r="L67" i="8"/>
  <c r="L65" i="8"/>
  <c r="L63" i="8"/>
  <c r="L61" i="8"/>
  <c r="L59" i="8"/>
  <c r="L58" i="8"/>
  <c r="L57" i="8"/>
  <c r="L56" i="8"/>
  <c r="L55" i="8"/>
  <c r="L46" i="8"/>
  <c r="L47" i="8"/>
  <c r="L48" i="8"/>
  <c r="L49" i="8"/>
  <c r="L50" i="8"/>
  <c r="L51" i="8"/>
  <c r="L52" i="8"/>
  <c r="L53" i="8"/>
  <c r="L54" i="8"/>
  <c r="L45" i="8"/>
  <c r="L44" i="8"/>
  <c r="L43" i="8"/>
  <c r="L42" i="8"/>
  <c r="L41" i="8"/>
  <c r="L40" i="8"/>
  <c r="L38" i="8"/>
  <c r="L37" i="8"/>
  <c r="L36" i="8"/>
  <c r="L35" i="8"/>
  <c r="L28" i="8"/>
  <c r="L29" i="8"/>
  <c r="L30" i="8"/>
  <c r="L31" i="8"/>
  <c r="L32" i="8"/>
  <c r="L33" i="8"/>
  <c r="L34" i="8"/>
  <c r="L27" i="8"/>
  <c r="L26" i="8"/>
  <c r="L25" i="8"/>
  <c r="L23" i="8"/>
  <c r="L18" i="8"/>
  <c r="L19" i="8"/>
  <c r="L20" i="8"/>
  <c r="L21" i="8"/>
  <c r="L22" i="8"/>
  <c r="L17" i="8"/>
  <c r="L16" i="8"/>
  <c r="L15" i="8"/>
  <c r="L13" i="8"/>
  <c r="L12" i="8"/>
  <c r="L11" i="8"/>
  <c r="L10" i="8"/>
  <c r="L8" i="8"/>
  <c r="AC65" i="2"/>
  <c r="AC64" i="2"/>
  <c r="AC63" i="2"/>
  <c r="AC62" i="2"/>
  <c r="AC59" i="2"/>
  <c r="AC58" i="2"/>
  <c r="AC57" i="2"/>
  <c r="AC56" i="2"/>
  <c r="AC55" i="2"/>
  <c r="AC54" i="2"/>
  <c r="AC53" i="2"/>
  <c r="AC52" i="2"/>
  <c r="AC51" i="2"/>
  <c r="AC50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4" i="2"/>
  <c r="AC13" i="2"/>
  <c r="AC12" i="2"/>
  <c r="AC11" i="2"/>
  <c r="AC10" i="2"/>
  <c r="AC9" i="2"/>
  <c r="AC8" i="2"/>
  <c r="AC7" i="2"/>
  <c r="U65" i="2"/>
  <c r="U64" i="2"/>
  <c r="U63" i="2"/>
  <c r="U62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4" i="2"/>
  <c r="U13" i="2"/>
  <c r="U12" i="2"/>
  <c r="U11" i="2"/>
  <c r="U10" i="2"/>
  <c r="U9" i="2"/>
  <c r="U8" i="2"/>
  <c r="U7" i="2"/>
  <c r="L65" i="2"/>
  <c r="L64" i="2"/>
  <c r="L63" i="2"/>
  <c r="L62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2" i="2"/>
  <c r="L43" i="2"/>
  <c r="L44" i="2"/>
  <c r="L45" i="2"/>
  <c r="L46" i="2"/>
  <c r="L41" i="2"/>
  <c r="L40" i="2"/>
  <c r="L39" i="2"/>
  <c r="L38" i="2"/>
  <c r="L37" i="2"/>
  <c r="L36" i="2"/>
  <c r="L35" i="2"/>
  <c r="L34" i="2"/>
  <c r="L33" i="2"/>
  <c r="L32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4" i="2"/>
  <c r="L13" i="2"/>
  <c r="L12" i="2"/>
  <c r="L11" i="2"/>
  <c r="L10" i="2"/>
  <c r="L9" i="2"/>
  <c r="L8" i="2"/>
  <c r="L7" i="2"/>
  <c r="M41" i="8"/>
  <c r="M77" i="8"/>
  <c r="M78" i="8"/>
  <c r="M79" i="8"/>
  <c r="M80" i="8"/>
  <c r="M76" i="8"/>
  <c r="M75" i="8"/>
  <c r="M69" i="8"/>
  <c r="M70" i="8"/>
  <c r="M71" i="8"/>
  <c r="M72" i="8"/>
  <c r="M73" i="8"/>
  <c r="M68" i="8"/>
  <c r="M67" i="8"/>
  <c r="M60" i="8"/>
  <c r="M59" i="8"/>
  <c r="M58" i="8"/>
  <c r="M46" i="8"/>
  <c r="M47" i="8"/>
  <c r="M48" i="8"/>
  <c r="M49" i="8"/>
  <c r="M50" i="8"/>
  <c r="M51" i="8"/>
  <c r="M52" i="8"/>
  <c r="M53" i="8"/>
  <c r="M54" i="8"/>
  <c r="M45" i="8"/>
  <c r="M44" i="8"/>
  <c r="M42" i="8"/>
  <c r="M37" i="8"/>
  <c r="M36" i="8"/>
  <c r="M28" i="8"/>
  <c r="M29" i="8"/>
  <c r="M30" i="8"/>
  <c r="M31" i="8"/>
  <c r="M32" i="8"/>
  <c r="M33" i="8"/>
  <c r="M34" i="8"/>
  <c r="M27" i="8"/>
  <c r="M26" i="8"/>
  <c r="M18" i="8"/>
  <c r="M19" i="8"/>
  <c r="M20" i="8"/>
  <c r="M21" i="8"/>
  <c r="M22" i="8"/>
  <c r="M17" i="8"/>
  <c r="M16" i="8"/>
  <c r="M12" i="8"/>
  <c r="M11" i="8"/>
  <c r="AB80" i="8"/>
  <c r="AB79" i="8"/>
  <c r="AB78" i="8"/>
  <c r="AB77" i="8"/>
  <c r="AB76" i="8"/>
  <c r="AB75" i="8"/>
  <c r="AB73" i="8"/>
  <c r="AB72" i="8"/>
  <c r="AB71" i="8"/>
  <c r="AB70" i="8"/>
  <c r="AB60" i="8"/>
  <c r="AB59" i="8"/>
  <c r="AB58" i="8"/>
  <c r="AB56" i="8"/>
  <c r="AB54" i="8"/>
  <c r="AB53" i="8"/>
  <c r="AB52" i="8"/>
  <c r="AB51" i="8"/>
  <c r="AB50" i="8"/>
  <c r="AB49" i="8"/>
  <c r="AB48" i="8"/>
  <c r="AB47" i="8"/>
  <c r="AB46" i="8"/>
  <c r="AB45" i="8"/>
  <c r="AB44" i="8"/>
  <c r="AB42" i="8"/>
  <c r="AB37" i="8"/>
  <c r="AB36" i="8"/>
  <c r="AB34" i="8"/>
  <c r="AB33" i="8"/>
  <c r="AB32" i="8"/>
  <c r="AB31" i="8"/>
  <c r="AB30" i="8"/>
  <c r="AB29" i="8"/>
  <c r="AB28" i="8"/>
  <c r="AB27" i="8"/>
  <c r="AB26" i="8"/>
  <c r="AB22" i="8"/>
  <c r="AB21" i="8"/>
  <c r="AB20" i="8"/>
  <c r="AB19" i="8"/>
  <c r="AB18" i="8"/>
  <c r="AB17" i="8"/>
  <c r="AB16" i="8"/>
  <c r="AB12" i="8"/>
  <c r="AB11" i="8"/>
  <c r="T80" i="8"/>
  <c r="T79" i="8"/>
  <c r="T78" i="8"/>
  <c r="T77" i="8"/>
  <c r="T76" i="8"/>
  <c r="T75" i="8"/>
  <c r="T73" i="8"/>
  <c r="T72" i="8"/>
  <c r="T71" i="8"/>
  <c r="T70" i="8"/>
  <c r="T60" i="8"/>
  <c r="T59" i="8"/>
  <c r="T58" i="8"/>
  <c r="T56" i="8"/>
  <c r="T54" i="8"/>
  <c r="T53" i="8"/>
  <c r="T52" i="8"/>
  <c r="T51" i="8"/>
  <c r="T50" i="8"/>
  <c r="T49" i="8"/>
  <c r="T48" i="8"/>
  <c r="T47" i="8"/>
  <c r="T46" i="8"/>
  <c r="T45" i="8"/>
  <c r="T44" i="8"/>
  <c r="T42" i="8"/>
  <c r="T37" i="8"/>
  <c r="T36" i="8"/>
  <c r="T34" i="8"/>
  <c r="T33" i="8"/>
  <c r="T32" i="8"/>
  <c r="T31" i="8"/>
  <c r="T30" i="8"/>
  <c r="T29" i="8"/>
  <c r="T28" i="8"/>
  <c r="T27" i="8"/>
  <c r="T26" i="8"/>
  <c r="T22" i="8"/>
  <c r="T21" i="8"/>
  <c r="T20" i="8"/>
  <c r="T19" i="8"/>
  <c r="T18" i="8"/>
  <c r="T17" i="8"/>
  <c r="T16" i="8"/>
  <c r="T12" i="8"/>
  <c r="T11" i="8"/>
  <c r="K76" i="8"/>
  <c r="K77" i="8"/>
  <c r="K78" i="8"/>
  <c r="K79" i="8"/>
  <c r="K80" i="8"/>
  <c r="K75" i="8"/>
  <c r="K69" i="8"/>
  <c r="K70" i="8"/>
  <c r="K71" i="8"/>
  <c r="K72" i="8"/>
  <c r="K73" i="8"/>
  <c r="K68" i="8"/>
  <c r="K67" i="8"/>
  <c r="K60" i="8"/>
  <c r="K59" i="8"/>
  <c r="K58" i="8"/>
  <c r="K56" i="8"/>
  <c r="K46" i="8"/>
  <c r="K47" i="8"/>
  <c r="K48" i="8"/>
  <c r="K49" i="8"/>
  <c r="K50" i="8"/>
  <c r="K51" i="8"/>
  <c r="K52" i="8"/>
  <c r="K53" i="8"/>
  <c r="K54" i="8"/>
  <c r="K45" i="8"/>
  <c r="K44" i="8"/>
  <c r="K42" i="8"/>
  <c r="K37" i="8"/>
  <c r="K36" i="8"/>
  <c r="K28" i="8"/>
  <c r="K29" i="8"/>
  <c r="K30" i="8"/>
  <c r="K31" i="8"/>
  <c r="K32" i="8"/>
  <c r="K33" i="8"/>
  <c r="K34" i="8"/>
  <c r="K27" i="8"/>
  <c r="K26" i="8"/>
  <c r="K18" i="8"/>
  <c r="K19" i="8"/>
  <c r="K20" i="8"/>
  <c r="K21" i="8"/>
  <c r="K22" i="8"/>
  <c r="K17" i="8"/>
  <c r="K16" i="8"/>
  <c r="K12" i="8"/>
  <c r="K11" i="8"/>
  <c r="AA69" i="8"/>
  <c r="AB69" i="8" s="1"/>
  <c r="AA61" i="8"/>
  <c r="AA38" i="8"/>
  <c r="AA35" i="8"/>
  <c r="AA23" i="8"/>
  <c r="AA13" i="8"/>
  <c r="S69" i="8"/>
  <c r="T69" i="8" s="1"/>
  <c r="R69" i="8"/>
  <c r="R70" i="8"/>
  <c r="R71" i="8"/>
  <c r="R72" i="8"/>
  <c r="R73" i="8"/>
  <c r="R75" i="8"/>
  <c r="R77" i="8"/>
  <c r="R78" i="8"/>
  <c r="R80" i="8"/>
  <c r="S61" i="8"/>
  <c r="S38" i="8"/>
  <c r="S35" i="8"/>
  <c r="S23" i="8"/>
  <c r="S13" i="8"/>
  <c r="J61" i="8"/>
  <c r="J55" i="8"/>
  <c r="J38" i="8"/>
  <c r="J35" i="8"/>
  <c r="J23" i="8"/>
  <c r="J13" i="8"/>
  <c r="AB63" i="2"/>
  <c r="AB61" i="2"/>
  <c r="AB60" i="2"/>
  <c r="AB59" i="2"/>
  <c r="AB58" i="2"/>
  <c r="AB57" i="2"/>
  <c r="AB55" i="2"/>
  <c r="AB53" i="2"/>
  <c r="AB49" i="2"/>
  <c r="AB48" i="2"/>
  <c r="AB45" i="2"/>
  <c r="AB44" i="2"/>
  <c r="AB43" i="2"/>
  <c r="AB42" i="2"/>
  <c r="AB41" i="2"/>
  <c r="AB40" i="2"/>
  <c r="AB38" i="2"/>
  <c r="AB37" i="2"/>
  <c r="AB36" i="2"/>
  <c r="AB34" i="2"/>
  <c r="AB32" i="2"/>
  <c r="AB31" i="2"/>
  <c r="AB30" i="2"/>
  <c r="AB28" i="2"/>
  <c r="AB26" i="2"/>
  <c r="AB25" i="2"/>
  <c r="AB23" i="2"/>
  <c r="AB22" i="2"/>
  <c r="AB21" i="2"/>
  <c r="AB19" i="2"/>
  <c r="AB18" i="2"/>
  <c r="AB16" i="2"/>
  <c r="AB15" i="2"/>
  <c r="AB14" i="2"/>
  <c r="AB13" i="2"/>
  <c r="AB12" i="2"/>
  <c r="AB10" i="2"/>
  <c r="AB8" i="2"/>
  <c r="AB7" i="2"/>
  <c r="T8" i="2"/>
  <c r="T10" i="2"/>
  <c r="T12" i="2"/>
  <c r="T13" i="2"/>
  <c r="T14" i="2"/>
  <c r="T15" i="2"/>
  <c r="T16" i="2"/>
  <c r="T18" i="2"/>
  <c r="T19" i="2"/>
  <c r="T21" i="2"/>
  <c r="T22" i="2"/>
  <c r="T23" i="2"/>
  <c r="T25" i="2"/>
  <c r="T26" i="2"/>
  <c r="T28" i="2"/>
  <c r="T30" i="2"/>
  <c r="T31" i="2"/>
  <c r="T32" i="2"/>
  <c r="T34" i="2"/>
  <c r="T36" i="2"/>
  <c r="T37" i="2"/>
  <c r="T38" i="2"/>
  <c r="T40" i="2"/>
  <c r="T41" i="2"/>
  <c r="T42" i="2"/>
  <c r="T43" i="2"/>
  <c r="T44" i="2"/>
  <c r="T45" i="2"/>
  <c r="T48" i="2"/>
  <c r="T49" i="2"/>
  <c r="T53" i="2"/>
  <c r="T55" i="2"/>
  <c r="T57" i="2"/>
  <c r="T58" i="2"/>
  <c r="T59" i="2"/>
  <c r="T60" i="2"/>
  <c r="T61" i="2"/>
  <c r="T63" i="2"/>
  <c r="T7" i="2"/>
  <c r="K63" i="2"/>
  <c r="K58" i="2"/>
  <c r="K59" i="2"/>
  <c r="K60" i="2"/>
  <c r="K61" i="2"/>
  <c r="K57" i="2"/>
  <c r="K55" i="2"/>
  <c r="K53" i="2"/>
  <c r="K49" i="2"/>
  <c r="K48" i="2"/>
  <c r="K41" i="2"/>
  <c r="K42" i="2"/>
  <c r="K43" i="2"/>
  <c r="K44" i="2"/>
  <c r="K45" i="2"/>
  <c r="K40" i="2"/>
  <c r="K37" i="2"/>
  <c r="K38" i="2"/>
  <c r="K36" i="2"/>
  <c r="K34" i="2"/>
  <c r="K31" i="2"/>
  <c r="K32" i="2"/>
  <c r="K30" i="2"/>
  <c r="K28" i="2"/>
  <c r="K26" i="2"/>
  <c r="K25" i="2"/>
  <c r="K22" i="2"/>
  <c r="K23" i="2"/>
  <c r="K21" i="2"/>
  <c r="K19" i="2"/>
  <c r="K18" i="2"/>
  <c r="K13" i="2"/>
  <c r="K14" i="2"/>
  <c r="K15" i="2"/>
  <c r="K16" i="2"/>
  <c r="K12" i="2"/>
  <c r="K10" i="2"/>
  <c r="K8" i="2"/>
  <c r="K7" i="2"/>
  <c r="J47" i="2"/>
  <c r="M10" i="2"/>
  <c r="M12" i="2"/>
  <c r="M13" i="2"/>
  <c r="M14" i="2"/>
  <c r="M15" i="2"/>
  <c r="M16" i="2"/>
  <c r="M18" i="2"/>
  <c r="M19" i="2"/>
  <c r="M21" i="2"/>
  <c r="M22" i="2"/>
  <c r="M23" i="2"/>
  <c r="M26" i="2"/>
  <c r="M28" i="2"/>
  <c r="M30" i="2"/>
  <c r="M31" i="2"/>
  <c r="M32" i="2"/>
  <c r="M34" i="2"/>
  <c r="M36" i="2"/>
  <c r="M37" i="2"/>
  <c r="M38" i="2"/>
  <c r="M40" i="2"/>
  <c r="M41" i="2"/>
  <c r="M42" i="2"/>
  <c r="M43" i="2"/>
  <c r="M44" i="2"/>
  <c r="M45" i="2"/>
  <c r="M46" i="2"/>
  <c r="M48" i="2"/>
  <c r="M49" i="2"/>
  <c r="M51" i="2"/>
  <c r="M52" i="2"/>
  <c r="M53" i="2"/>
  <c r="M55" i="2"/>
  <c r="M57" i="2"/>
  <c r="M58" i="2"/>
  <c r="M59" i="2"/>
  <c r="M60" i="2"/>
  <c r="M61" i="2"/>
  <c r="M63" i="2"/>
  <c r="M8" i="2"/>
  <c r="M7" i="2"/>
  <c r="AA62" i="2"/>
  <c r="AA54" i="2"/>
  <c r="AA50" i="2"/>
  <c r="AA39" i="2"/>
  <c r="AA33" i="2"/>
  <c r="AA24" i="2"/>
  <c r="AA17" i="2"/>
  <c r="S62" i="2"/>
  <c r="S54" i="2"/>
  <c r="S50" i="2"/>
  <c r="S39" i="2"/>
  <c r="S33" i="2"/>
  <c r="S24" i="2"/>
  <c r="S17" i="2"/>
  <c r="J62" i="2"/>
  <c r="J54" i="2"/>
  <c r="BD21" i="9" l="1"/>
  <c r="BD19" i="9"/>
  <c r="BD16" i="9"/>
  <c r="BD15" i="9"/>
  <c r="BD13" i="9"/>
  <c r="BD11" i="9"/>
  <c r="AW23" i="9"/>
  <c r="AW21" i="9"/>
  <c r="AW20" i="9"/>
  <c r="AW19" i="9"/>
  <c r="AW18" i="9"/>
  <c r="AW16" i="9"/>
  <c r="AW13" i="9"/>
  <c r="AW11" i="9"/>
  <c r="BK11" i="9" s="1"/>
  <c r="AH21" i="9"/>
  <c r="AH19" i="9"/>
  <c r="AH16" i="9"/>
  <c r="AH15" i="9"/>
  <c r="AH13" i="9"/>
  <c r="AH11" i="9"/>
  <c r="AA23" i="9"/>
  <c r="AA21" i="9"/>
  <c r="AA20" i="9"/>
  <c r="AA19" i="9"/>
  <c r="AA18" i="9"/>
  <c r="AA16" i="9"/>
  <c r="AO16" i="9" s="1"/>
  <c r="AA13" i="9"/>
  <c r="AA11" i="9"/>
  <c r="S9" i="2"/>
  <c r="S11" i="2"/>
  <c r="S20" i="2"/>
  <c r="S27" i="2"/>
  <c r="S29" i="2"/>
  <c r="S35" i="2"/>
  <c r="S56" i="2"/>
  <c r="S64" i="2"/>
  <c r="G9" i="2"/>
  <c r="H9" i="2"/>
  <c r="H10" i="2"/>
  <c r="H11" i="2" s="1"/>
  <c r="G11" i="2"/>
  <c r="G17" i="2"/>
  <c r="H17" i="2"/>
  <c r="G20" i="2"/>
  <c r="H20" i="2"/>
  <c r="H21" i="2"/>
  <c r="H24" i="2" s="1"/>
  <c r="G24" i="2"/>
  <c r="G27" i="2"/>
  <c r="H27" i="2"/>
  <c r="G29" i="2"/>
  <c r="H29" i="2"/>
  <c r="G30" i="2"/>
  <c r="G33" i="2" s="1"/>
  <c r="H30" i="2"/>
  <c r="H33" i="2" s="1"/>
  <c r="H34" i="2"/>
  <c r="H35" i="2" s="1"/>
  <c r="G35" i="2"/>
  <c r="H36" i="2"/>
  <c r="H39" i="2" s="1"/>
  <c r="G39" i="2"/>
  <c r="H40" i="2"/>
  <c r="H47" i="2" s="1"/>
  <c r="G47" i="2"/>
  <c r="H48" i="2"/>
  <c r="H50" i="2" s="1"/>
  <c r="G50" i="2"/>
  <c r="G51" i="2"/>
  <c r="G52" i="2"/>
  <c r="H55" i="2"/>
  <c r="H56" i="2" s="1"/>
  <c r="G56" i="2"/>
  <c r="H57" i="2"/>
  <c r="H58" i="2"/>
  <c r="H59" i="2"/>
  <c r="G62" i="2"/>
  <c r="G64" i="2"/>
  <c r="H64" i="2"/>
  <c r="J66" i="8"/>
  <c r="J74" i="8"/>
  <c r="AA15" i="9" l="1"/>
  <c r="AA9" i="9"/>
  <c r="AA24" i="9"/>
  <c r="AA10" i="9"/>
  <c r="S65" i="2"/>
  <c r="AA17" i="9"/>
  <c r="AA14" i="9"/>
  <c r="AA12" i="9"/>
  <c r="BK16" i="9"/>
  <c r="BK13" i="9"/>
  <c r="AO21" i="9"/>
  <c r="AO15" i="9"/>
  <c r="AO13" i="9"/>
  <c r="AO11" i="9"/>
  <c r="J81" i="8"/>
  <c r="BK21" i="9"/>
  <c r="AO19" i="9"/>
  <c r="BK19" i="9"/>
  <c r="AA22" i="9"/>
  <c r="G54" i="2"/>
  <c r="G65" i="2" s="1"/>
  <c r="H62" i="2"/>
  <c r="J64" i="2"/>
  <c r="J56" i="2"/>
  <c r="J65" i="8"/>
  <c r="J63" i="8"/>
  <c r="J57" i="8"/>
  <c r="J50" i="2"/>
  <c r="J43" i="8"/>
  <c r="J35" i="2"/>
  <c r="J40" i="8"/>
  <c r="J33" i="2"/>
  <c r="J25" i="8"/>
  <c r="J29" i="2"/>
  <c r="J27" i="2"/>
  <c r="J20" i="2"/>
  <c r="J17" i="2"/>
  <c r="J15" i="8"/>
  <c r="J10" i="8"/>
  <c r="J8" i="8"/>
  <c r="J9" i="2"/>
  <c r="J11" i="2"/>
  <c r="M24" i="9" l="1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H24" i="9"/>
  <c r="R24" i="9" s="1"/>
  <c r="H23" i="9"/>
  <c r="H22" i="9"/>
  <c r="R22" i="9" s="1"/>
  <c r="H21" i="9"/>
  <c r="H20" i="9"/>
  <c r="H19" i="9"/>
  <c r="H18" i="9"/>
  <c r="R18" i="9" s="1"/>
  <c r="H17" i="9"/>
  <c r="R17" i="9" s="1"/>
  <c r="H16" i="9"/>
  <c r="H15" i="9"/>
  <c r="H14" i="9"/>
  <c r="R14" i="9" s="1"/>
  <c r="H13" i="9"/>
  <c r="R13" i="9" s="1"/>
  <c r="H12" i="9"/>
  <c r="H11" i="9"/>
  <c r="H10" i="9"/>
  <c r="H9" i="9"/>
  <c r="R9" i="9" s="1"/>
  <c r="J82" i="8"/>
  <c r="J65" i="2"/>
  <c r="AA57" i="8"/>
  <c r="AA43" i="8"/>
  <c r="S57" i="8"/>
  <c r="AA64" i="2"/>
  <c r="AA56" i="2"/>
  <c r="AA35" i="2"/>
  <c r="AA29" i="2"/>
  <c r="AA27" i="2"/>
  <c r="AA20" i="2"/>
  <c r="AA11" i="2"/>
  <c r="AA9" i="2"/>
  <c r="R12" i="9" l="1"/>
  <c r="AW10" i="9"/>
  <c r="AW12" i="9"/>
  <c r="AW15" i="9"/>
  <c r="BK15" i="9" s="1"/>
  <c r="AW17" i="9"/>
  <c r="AW14" i="9"/>
  <c r="AW22" i="9"/>
  <c r="AW24" i="9"/>
  <c r="AW9" i="9"/>
  <c r="R20" i="9"/>
  <c r="R23" i="9"/>
  <c r="R21" i="9"/>
  <c r="R16" i="9"/>
  <c r="R15" i="9"/>
  <c r="AH20" i="9"/>
  <c r="AO20" i="9" s="1"/>
  <c r="R11" i="9"/>
  <c r="BD20" i="9"/>
  <c r="BK20" i="9" s="1"/>
  <c r="BD18" i="9"/>
  <c r="BK18" i="9" s="1"/>
  <c r="R19" i="9"/>
  <c r="R10" i="9"/>
  <c r="J84" i="8"/>
  <c r="M25" i="9"/>
  <c r="H25" i="9"/>
  <c r="AA65" i="2"/>
  <c r="R25" i="9" l="1"/>
  <c r="AW25" i="9"/>
  <c r="Y79" i="8"/>
  <c r="Q79" i="8"/>
  <c r="R79" i="8" s="1"/>
  <c r="Y25" i="2"/>
  <c r="Y58" i="2"/>
  <c r="Z58" i="2" s="1"/>
  <c r="Q58" i="2"/>
  <c r="R58" i="2" s="1"/>
  <c r="Y76" i="8"/>
  <c r="Z76" i="8" s="1"/>
  <c r="Q76" i="8"/>
  <c r="R76" i="8" s="1"/>
  <c r="H30" i="8"/>
  <c r="H26" i="8"/>
  <c r="H34" i="8"/>
  <c r="I34" i="8" s="1"/>
  <c r="Y59" i="2"/>
  <c r="Q59" i="2"/>
  <c r="I59" i="2"/>
  <c r="Z21" i="8"/>
  <c r="R18" i="2"/>
  <c r="R7" i="2"/>
  <c r="I21" i="2"/>
  <c r="X76" i="8"/>
  <c r="X74" i="8" s="1"/>
  <c r="P76" i="8"/>
  <c r="X72" i="8"/>
  <c r="X66" i="8" s="1"/>
  <c r="I56" i="8"/>
  <c r="I80" i="8"/>
  <c r="I79" i="8"/>
  <c r="I78" i="8"/>
  <c r="I77" i="8"/>
  <c r="I76" i="8"/>
  <c r="I75" i="8"/>
  <c r="I73" i="8"/>
  <c r="I72" i="8"/>
  <c r="I71" i="8"/>
  <c r="I70" i="8"/>
  <c r="I69" i="8"/>
  <c r="I68" i="8"/>
  <c r="I67" i="8"/>
  <c r="I64" i="8"/>
  <c r="I62" i="8"/>
  <c r="I60" i="8"/>
  <c r="I59" i="8"/>
  <c r="I58" i="8"/>
  <c r="I54" i="8"/>
  <c r="I53" i="8"/>
  <c r="I52" i="8"/>
  <c r="I51" i="8"/>
  <c r="I50" i="8"/>
  <c r="I49" i="8"/>
  <c r="I48" i="8"/>
  <c r="I47" i="8"/>
  <c r="I46" i="8"/>
  <c r="I45" i="8"/>
  <c r="I44" i="8"/>
  <c r="I42" i="8"/>
  <c r="I41" i="8"/>
  <c r="I39" i="8"/>
  <c r="I37" i="8"/>
  <c r="I36" i="8"/>
  <c r="I33" i="8"/>
  <c r="I32" i="8"/>
  <c r="I31" i="8"/>
  <c r="I29" i="8"/>
  <c r="I28" i="8"/>
  <c r="I27" i="8"/>
  <c r="I24" i="8"/>
  <c r="I22" i="8"/>
  <c r="I21" i="8"/>
  <c r="I20" i="8"/>
  <c r="I19" i="8"/>
  <c r="I18" i="8"/>
  <c r="I17" i="8"/>
  <c r="I16" i="8"/>
  <c r="I14" i="8"/>
  <c r="I12" i="8"/>
  <c r="I11" i="8"/>
  <c r="I9" i="8"/>
  <c r="I7" i="8"/>
  <c r="I63" i="2"/>
  <c r="I60" i="2"/>
  <c r="I53" i="2"/>
  <c r="I49" i="2"/>
  <c r="I45" i="2"/>
  <c r="I44" i="2"/>
  <c r="I43" i="2"/>
  <c r="I42" i="2"/>
  <c r="I41" i="2"/>
  <c r="I38" i="2"/>
  <c r="I37" i="2"/>
  <c r="I32" i="2"/>
  <c r="I31" i="2"/>
  <c r="I28" i="2"/>
  <c r="I26" i="2"/>
  <c r="I23" i="2"/>
  <c r="I22" i="2"/>
  <c r="I19" i="2"/>
  <c r="I18" i="2"/>
  <c r="I16" i="2"/>
  <c r="I15" i="2"/>
  <c r="I14" i="2"/>
  <c r="I13" i="2"/>
  <c r="I8" i="2"/>
  <c r="I7" i="2"/>
  <c r="I48" i="2"/>
  <c r="I30" i="2"/>
  <c r="H74" i="8"/>
  <c r="H66" i="8"/>
  <c r="H65" i="8"/>
  <c r="H63" i="8"/>
  <c r="H61" i="8"/>
  <c r="H57" i="8"/>
  <c r="H55" i="8"/>
  <c r="H43" i="8"/>
  <c r="H40" i="8"/>
  <c r="H38" i="8"/>
  <c r="H25" i="8"/>
  <c r="H23" i="8"/>
  <c r="H15" i="8"/>
  <c r="H13" i="8"/>
  <c r="H10" i="8"/>
  <c r="H8" i="8"/>
  <c r="Z15" i="2"/>
  <c r="R15" i="2"/>
  <c r="Z77" i="8"/>
  <c r="Z78" i="8"/>
  <c r="Z80" i="8"/>
  <c r="Z75" i="8"/>
  <c r="Z68" i="8"/>
  <c r="AA68" i="8" s="1"/>
  <c r="AB68" i="8" s="1"/>
  <c r="Z69" i="8"/>
  <c r="Z70" i="8"/>
  <c r="Z71" i="8"/>
  <c r="Z72" i="8"/>
  <c r="Z73" i="8"/>
  <c r="Z67" i="8"/>
  <c r="AA67" i="8" s="1"/>
  <c r="AB67" i="8" s="1"/>
  <c r="Z64" i="8"/>
  <c r="AA64" i="8" s="1"/>
  <c r="AA65" i="8" s="1"/>
  <c r="Z62" i="8"/>
  <c r="AA62" i="8" s="1"/>
  <c r="AA63" i="8" s="1"/>
  <c r="Z60" i="8"/>
  <c r="Z59" i="8"/>
  <c r="Z58" i="8"/>
  <c r="Z56" i="8"/>
  <c r="Z46" i="8"/>
  <c r="Z47" i="8"/>
  <c r="Z48" i="8"/>
  <c r="Z49" i="8"/>
  <c r="Z50" i="8"/>
  <c r="Z51" i="8"/>
  <c r="Z52" i="8"/>
  <c r="Z53" i="8"/>
  <c r="Z54" i="8"/>
  <c r="Z45" i="8"/>
  <c r="Z44" i="8"/>
  <c r="Z42" i="8"/>
  <c r="Z41" i="8"/>
  <c r="Z39" i="8"/>
  <c r="AA39" i="8" s="1"/>
  <c r="AA40" i="8" s="1"/>
  <c r="Z37" i="8"/>
  <c r="Z36" i="8"/>
  <c r="Z28" i="8"/>
  <c r="Z29" i="8"/>
  <c r="Z30" i="8"/>
  <c r="Z31" i="8"/>
  <c r="Z32" i="8"/>
  <c r="Z33" i="8"/>
  <c r="Z34" i="8"/>
  <c r="Z27" i="8"/>
  <c r="Z26" i="8"/>
  <c r="Z24" i="8"/>
  <c r="AA24" i="8" s="1"/>
  <c r="AA25" i="8" s="1"/>
  <c r="Z18" i="8"/>
  <c r="Z19" i="8"/>
  <c r="Z20" i="8"/>
  <c r="Z22" i="8"/>
  <c r="Z17" i="8"/>
  <c r="Z16" i="8"/>
  <c r="Z14" i="8"/>
  <c r="AA14" i="8" s="1"/>
  <c r="AA15" i="8" s="1"/>
  <c r="Z12" i="8"/>
  <c r="Z11" i="8"/>
  <c r="Z9" i="8"/>
  <c r="AA9" i="8" s="1"/>
  <c r="AA10" i="8" s="1"/>
  <c r="Z7" i="8"/>
  <c r="AA7" i="8" s="1"/>
  <c r="AA8" i="8" s="1"/>
  <c r="R68" i="8"/>
  <c r="S68" i="8" s="1"/>
  <c r="T68" i="8" s="1"/>
  <c r="R67" i="8"/>
  <c r="S67" i="8" s="1"/>
  <c r="T67" i="8" s="1"/>
  <c r="R64" i="8"/>
  <c r="S64" i="8" s="1"/>
  <c r="S65" i="8" s="1"/>
  <c r="R62" i="8"/>
  <c r="S62" i="8" s="1"/>
  <c r="S63" i="8" s="1"/>
  <c r="R60" i="8"/>
  <c r="R59" i="8"/>
  <c r="R58" i="8"/>
  <c r="R56" i="8"/>
  <c r="R45" i="8"/>
  <c r="R46" i="8"/>
  <c r="R47" i="8"/>
  <c r="R48" i="8"/>
  <c r="R49" i="8"/>
  <c r="R50" i="8"/>
  <c r="R51" i="8"/>
  <c r="R52" i="8"/>
  <c r="R53" i="8"/>
  <c r="R54" i="8"/>
  <c r="R42" i="8"/>
  <c r="R41" i="8"/>
  <c r="S41" i="8" s="1"/>
  <c r="S43" i="8" s="1"/>
  <c r="R39" i="8"/>
  <c r="S39" i="8" s="1"/>
  <c r="S40" i="8" s="1"/>
  <c r="R37" i="8"/>
  <c r="R36" i="8"/>
  <c r="R27" i="8"/>
  <c r="R28" i="8"/>
  <c r="R29" i="8"/>
  <c r="R30" i="8"/>
  <c r="R31" i="8"/>
  <c r="R32" i="8"/>
  <c r="R33" i="8"/>
  <c r="R34" i="8"/>
  <c r="R26" i="8"/>
  <c r="R24" i="8"/>
  <c r="S24" i="8" s="1"/>
  <c r="S25" i="8" s="1"/>
  <c r="R18" i="8"/>
  <c r="R19" i="8"/>
  <c r="R20" i="8"/>
  <c r="R21" i="8"/>
  <c r="R22" i="8"/>
  <c r="R17" i="8"/>
  <c r="R16" i="8"/>
  <c r="R14" i="8"/>
  <c r="S14" i="8" s="1"/>
  <c r="S15" i="8" s="1"/>
  <c r="R12" i="8"/>
  <c r="R11" i="8"/>
  <c r="R9" i="8"/>
  <c r="S9" i="8" s="1"/>
  <c r="S10" i="8" s="1"/>
  <c r="R7" i="8"/>
  <c r="S7" i="8" s="1"/>
  <c r="S8" i="8" s="1"/>
  <c r="Z63" i="2"/>
  <c r="Z60" i="2"/>
  <c r="Z61" i="2"/>
  <c r="Z53" i="2"/>
  <c r="Z49" i="2"/>
  <c r="Z41" i="2"/>
  <c r="Z42" i="2"/>
  <c r="Z43" i="2"/>
  <c r="Z44" i="2"/>
  <c r="Z45" i="2"/>
  <c r="Z37" i="2"/>
  <c r="Z38" i="2"/>
  <c r="Z31" i="2"/>
  <c r="Z32" i="2"/>
  <c r="Z28" i="2"/>
  <c r="Z26" i="2"/>
  <c r="Z22" i="2"/>
  <c r="Z23" i="2"/>
  <c r="Z19" i="2"/>
  <c r="Z18" i="2"/>
  <c r="Z13" i="2"/>
  <c r="Z14" i="2"/>
  <c r="Z16" i="2"/>
  <c r="Z8" i="2"/>
  <c r="Z7" i="2"/>
  <c r="R63" i="2"/>
  <c r="R60" i="2"/>
  <c r="R61" i="2"/>
  <c r="R53" i="2"/>
  <c r="R49" i="2"/>
  <c r="R41" i="2"/>
  <c r="R42" i="2"/>
  <c r="R43" i="2"/>
  <c r="R44" i="2"/>
  <c r="R45" i="2"/>
  <c r="R37" i="2"/>
  <c r="R38" i="2"/>
  <c r="R31" i="2"/>
  <c r="R32" i="2"/>
  <c r="R28" i="2"/>
  <c r="R26" i="2"/>
  <c r="R22" i="2"/>
  <c r="R23" i="2"/>
  <c r="R19" i="2"/>
  <c r="R13" i="2"/>
  <c r="R14" i="2"/>
  <c r="R16" i="2"/>
  <c r="R8" i="2"/>
  <c r="X30" i="2"/>
  <c r="X33" i="2" s="1"/>
  <c r="AT16" i="9" s="1"/>
  <c r="P30" i="2"/>
  <c r="P33" i="2" s="1"/>
  <c r="X16" i="9" s="1"/>
  <c r="X51" i="2"/>
  <c r="P51" i="2"/>
  <c r="X52" i="2"/>
  <c r="P52" i="2"/>
  <c r="W52" i="2"/>
  <c r="W51" i="2"/>
  <c r="AB51" i="2" s="1"/>
  <c r="O52" i="2"/>
  <c r="O51" i="2"/>
  <c r="T51" i="2" s="1"/>
  <c r="F51" i="2"/>
  <c r="K51" i="2" s="1"/>
  <c r="F52" i="2"/>
  <c r="K52" i="2" s="1"/>
  <c r="G74" i="8"/>
  <c r="Y66" i="8"/>
  <c r="P66" i="8"/>
  <c r="Q66" i="8"/>
  <c r="X65" i="8"/>
  <c r="BA23" i="9" s="1"/>
  <c r="Y65" i="8"/>
  <c r="BB23" i="9" s="1"/>
  <c r="P65" i="8"/>
  <c r="AE23" i="9" s="1"/>
  <c r="Q65" i="8"/>
  <c r="AF23" i="9" s="1"/>
  <c r="G65" i="8"/>
  <c r="X63" i="8"/>
  <c r="BA22" i="9" s="1"/>
  <c r="Y63" i="8"/>
  <c r="BB22" i="9" s="1"/>
  <c r="P63" i="8"/>
  <c r="AE22" i="9" s="1"/>
  <c r="Q63" i="8"/>
  <c r="AF22" i="9" s="1"/>
  <c r="G63" i="8"/>
  <c r="Y61" i="8"/>
  <c r="BB21" i="9" s="1"/>
  <c r="P61" i="8"/>
  <c r="AE21" i="9" s="1"/>
  <c r="Q61" i="8"/>
  <c r="AF21" i="9" s="1"/>
  <c r="G61" i="8"/>
  <c r="X57" i="8"/>
  <c r="BA20" i="9" s="1"/>
  <c r="Y57" i="8"/>
  <c r="BB20" i="9" s="1"/>
  <c r="P57" i="8"/>
  <c r="AE20" i="9" s="1"/>
  <c r="Q57" i="8"/>
  <c r="AF20" i="9" s="1"/>
  <c r="G57" i="8"/>
  <c r="X55" i="8"/>
  <c r="BA19" i="9" s="1"/>
  <c r="Y55" i="8"/>
  <c r="BB19" i="9" s="1"/>
  <c r="P55" i="8"/>
  <c r="AE19" i="9" s="1"/>
  <c r="G55" i="8"/>
  <c r="X43" i="8"/>
  <c r="BA18" i="9" s="1"/>
  <c r="Y43" i="8"/>
  <c r="BB18" i="9" s="1"/>
  <c r="P43" i="8"/>
  <c r="AE18" i="9" s="1"/>
  <c r="Q43" i="8"/>
  <c r="AF18" i="9" s="1"/>
  <c r="G43" i="8"/>
  <c r="X40" i="8"/>
  <c r="BA17" i="9" s="1"/>
  <c r="Y40" i="8"/>
  <c r="BB17" i="9" s="1"/>
  <c r="P40" i="8"/>
  <c r="AE17" i="9" s="1"/>
  <c r="Q40" i="8"/>
  <c r="AF17" i="9" s="1"/>
  <c r="G40" i="8"/>
  <c r="X38" i="8"/>
  <c r="BA16" i="9" s="1"/>
  <c r="Y38" i="8"/>
  <c r="BB16" i="9" s="1"/>
  <c r="P38" i="8"/>
  <c r="AE16" i="9" s="1"/>
  <c r="Q38" i="8"/>
  <c r="AF16" i="9" s="1"/>
  <c r="G38" i="8"/>
  <c r="X35" i="8"/>
  <c r="BA15" i="9" s="1"/>
  <c r="Y35" i="8"/>
  <c r="P35" i="8"/>
  <c r="Q35" i="8"/>
  <c r="AF15" i="9" s="1"/>
  <c r="G35" i="8"/>
  <c r="X25" i="8"/>
  <c r="BA14" i="9" s="1"/>
  <c r="Y25" i="8"/>
  <c r="BB14" i="9" s="1"/>
  <c r="P25" i="8"/>
  <c r="AE14" i="9" s="1"/>
  <c r="Q25" i="8"/>
  <c r="AF14" i="9" s="1"/>
  <c r="G25" i="8"/>
  <c r="X23" i="8"/>
  <c r="BA13" i="9" s="1"/>
  <c r="Y23" i="8"/>
  <c r="P23" i="8"/>
  <c r="AE13" i="9" s="1"/>
  <c r="Q23" i="8"/>
  <c r="AF13" i="9" s="1"/>
  <c r="G23" i="8"/>
  <c r="X15" i="8"/>
  <c r="BA12" i="9" s="1"/>
  <c r="Y15" i="8"/>
  <c r="BB12" i="9" s="1"/>
  <c r="P15" i="8"/>
  <c r="AE12" i="9" s="1"/>
  <c r="Q15" i="8"/>
  <c r="AF12" i="9" s="1"/>
  <c r="G15" i="8"/>
  <c r="X13" i="8"/>
  <c r="BA11" i="9" s="1"/>
  <c r="Y13" i="8"/>
  <c r="BB11" i="9" s="1"/>
  <c r="P13" i="8"/>
  <c r="AE11" i="9" s="1"/>
  <c r="Q13" i="8"/>
  <c r="G13" i="8"/>
  <c r="X10" i="8"/>
  <c r="BA10" i="9" s="1"/>
  <c r="Y10" i="8"/>
  <c r="BB10" i="9" s="1"/>
  <c r="P10" i="8"/>
  <c r="AE10" i="9" s="1"/>
  <c r="Q10" i="8"/>
  <c r="AF10" i="9" s="1"/>
  <c r="G10" i="8"/>
  <c r="X8" i="8"/>
  <c r="BA9" i="9" s="1"/>
  <c r="Y8" i="8"/>
  <c r="BB9" i="9" s="1"/>
  <c r="P8" i="8"/>
  <c r="AE9" i="9" s="1"/>
  <c r="Q8" i="8"/>
  <c r="AF9" i="9" s="1"/>
  <c r="G8" i="8"/>
  <c r="X64" i="2"/>
  <c r="AT24" i="9" s="1"/>
  <c r="Y64" i="2"/>
  <c r="P64" i="2"/>
  <c r="X24" i="9" s="1"/>
  <c r="Q64" i="2"/>
  <c r="Y24" i="9" s="1"/>
  <c r="X62" i="2"/>
  <c r="AT23" i="9" s="1"/>
  <c r="P62" i="2"/>
  <c r="X23" i="9" s="1"/>
  <c r="X56" i="2"/>
  <c r="AT22" i="9" s="1"/>
  <c r="P56" i="2"/>
  <c r="X22" i="9" s="1"/>
  <c r="X50" i="2"/>
  <c r="AT20" i="9" s="1"/>
  <c r="P50" i="2"/>
  <c r="X20" i="9" s="1"/>
  <c r="X47" i="2"/>
  <c r="AT19" i="9" s="1"/>
  <c r="P47" i="2"/>
  <c r="X19" i="9" s="1"/>
  <c r="X39" i="2"/>
  <c r="AT18" i="9" s="1"/>
  <c r="P39" i="2"/>
  <c r="X18" i="9" s="1"/>
  <c r="X35" i="2"/>
  <c r="AT17" i="9" s="1"/>
  <c r="P35" i="2"/>
  <c r="X17" i="9" s="1"/>
  <c r="X29" i="2"/>
  <c r="AT15" i="9" s="1"/>
  <c r="Y29" i="2"/>
  <c r="P29" i="2"/>
  <c r="X15" i="9" s="1"/>
  <c r="Q29" i="2"/>
  <c r="Y15" i="9" s="1"/>
  <c r="X27" i="2"/>
  <c r="AT14" i="9" s="1"/>
  <c r="P27" i="2"/>
  <c r="X14" i="9" s="1"/>
  <c r="X24" i="2"/>
  <c r="AT13" i="9" s="1"/>
  <c r="P24" i="2"/>
  <c r="X13" i="9" s="1"/>
  <c r="X20" i="2"/>
  <c r="AT12" i="9" s="1"/>
  <c r="Y20" i="2"/>
  <c r="AU12" i="9" s="1"/>
  <c r="P20" i="2"/>
  <c r="X12" i="9" s="1"/>
  <c r="Q20" i="2"/>
  <c r="Y12" i="9" s="1"/>
  <c r="X17" i="2"/>
  <c r="AT11" i="9" s="1"/>
  <c r="P17" i="2"/>
  <c r="X11" i="9" s="1"/>
  <c r="X11" i="2"/>
  <c r="AT10" i="9" s="1"/>
  <c r="P11" i="2"/>
  <c r="X10" i="9" s="1"/>
  <c r="X9" i="2"/>
  <c r="Y9" i="2"/>
  <c r="AU9" i="9" s="1"/>
  <c r="P9" i="2"/>
  <c r="X9" i="9" s="1"/>
  <c r="Q9" i="2"/>
  <c r="Y9" i="9" s="1"/>
  <c r="X60" i="8"/>
  <c r="X61" i="8" s="1"/>
  <c r="BA21" i="9" s="1"/>
  <c r="G72" i="8"/>
  <c r="D23" i="8"/>
  <c r="M23" i="8" s="1"/>
  <c r="F23" i="8"/>
  <c r="K23" i="8" s="1"/>
  <c r="O23" i="8"/>
  <c r="T23" i="8" s="1"/>
  <c r="W23" i="8"/>
  <c r="AB23" i="8" s="1"/>
  <c r="D62" i="2"/>
  <c r="M62" i="2" s="1"/>
  <c r="F62" i="2"/>
  <c r="K62" i="2" s="1"/>
  <c r="O62" i="2"/>
  <c r="T62" i="2" s="1"/>
  <c r="W62" i="2"/>
  <c r="AB62" i="2" s="1"/>
  <c r="D61" i="8"/>
  <c r="M61" i="8" s="1"/>
  <c r="F61" i="8"/>
  <c r="K61" i="8" s="1"/>
  <c r="O61" i="8"/>
  <c r="T61" i="8" s="1"/>
  <c r="W61" i="8"/>
  <c r="AB61" i="8" s="1"/>
  <c r="O64" i="2"/>
  <c r="T64" i="2" s="1"/>
  <c r="W64" i="2"/>
  <c r="AB64" i="2" s="1"/>
  <c r="O56" i="2"/>
  <c r="T56" i="2" s="1"/>
  <c r="W56" i="2"/>
  <c r="AB56" i="2" s="1"/>
  <c r="O50" i="2"/>
  <c r="T50" i="2" s="1"/>
  <c r="W50" i="2"/>
  <c r="AB50" i="2" s="1"/>
  <c r="O39" i="2"/>
  <c r="T39" i="2" s="1"/>
  <c r="W39" i="2"/>
  <c r="AB39" i="2" s="1"/>
  <c r="O35" i="2"/>
  <c r="T35" i="2" s="1"/>
  <c r="W35" i="2"/>
  <c r="AB35" i="2" s="1"/>
  <c r="O33" i="2"/>
  <c r="T33" i="2" s="1"/>
  <c r="W33" i="2"/>
  <c r="AB33" i="2" s="1"/>
  <c r="O29" i="2"/>
  <c r="T29" i="2" s="1"/>
  <c r="W29" i="2"/>
  <c r="AB29" i="2" s="1"/>
  <c r="O27" i="2"/>
  <c r="T27" i="2" s="1"/>
  <c r="W27" i="2"/>
  <c r="AB27" i="2" s="1"/>
  <c r="O24" i="2"/>
  <c r="T24" i="2" s="1"/>
  <c r="W24" i="2"/>
  <c r="AB24" i="2" s="1"/>
  <c r="O20" i="2"/>
  <c r="T20" i="2" s="1"/>
  <c r="W20" i="2"/>
  <c r="AB20" i="2" s="1"/>
  <c r="O17" i="2"/>
  <c r="T17" i="2" s="1"/>
  <c r="W17" i="2"/>
  <c r="AB17" i="2" s="1"/>
  <c r="O11" i="2"/>
  <c r="T11" i="2" s="1"/>
  <c r="W11" i="2"/>
  <c r="AB11" i="2" s="1"/>
  <c r="O9" i="2"/>
  <c r="T9" i="2" s="1"/>
  <c r="W9" i="2"/>
  <c r="AB9" i="2" s="1"/>
  <c r="O74" i="8"/>
  <c r="W74" i="8"/>
  <c r="O66" i="8"/>
  <c r="W66" i="8"/>
  <c r="O65" i="8"/>
  <c r="W65" i="8"/>
  <c r="O63" i="8"/>
  <c r="W63" i="8"/>
  <c r="O57" i="8"/>
  <c r="T57" i="8" s="1"/>
  <c r="W57" i="8"/>
  <c r="AB57" i="8" s="1"/>
  <c r="O55" i="8"/>
  <c r="T55" i="8" s="1"/>
  <c r="W55" i="8"/>
  <c r="AB55" i="8" s="1"/>
  <c r="O43" i="8"/>
  <c r="W43" i="8"/>
  <c r="AB43" i="8" s="1"/>
  <c r="O40" i="8"/>
  <c r="W40" i="8"/>
  <c r="O38" i="8"/>
  <c r="T38" i="8" s="1"/>
  <c r="W38" i="8"/>
  <c r="AB38" i="8" s="1"/>
  <c r="O35" i="8"/>
  <c r="T35" i="8" s="1"/>
  <c r="W35" i="8"/>
  <c r="AB35" i="8" s="1"/>
  <c r="O25" i="8"/>
  <c r="W25" i="8"/>
  <c r="O15" i="8"/>
  <c r="W15" i="8"/>
  <c r="O13" i="8"/>
  <c r="T13" i="8" s="1"/>
  <c r="W13" i="8"/>
  <c r="AB13" i="8" s="1"/>
  <c r="O10" i="8"/>
  <c r="W10" i="8"/>
  <c r="O8" i="8"/>
  <c r="W8" i="8"/>
  <c r="W46" i="2"/>
  <c r="O46" i="2"/>
  <c r="F46" i="2"/>
  <c r="K46" i="2" s="1"/>
  <c r="D25" i="2"/>
  <c r="F55" i="8"/>
  <c r="K55" i="8" s="1"/>
  <c r="F66" i="8"/>
  <c r="K66" i="8" s="1"/>
  <c r="F57" i="8"/>
  <c r="K57" i="8" s="1"/>
  <c r="F43" i="8"/>
  <c r="K43" i="8" s="1"/>
  <c r="F35" i="8"/>
  <c r="K35" i="8" s="1"/>
  <c r="D74" i="8"/>
  <c r="M74" i="8" s="1"/>
  <c r="D43" i="8"/>
  <c r="M43" i="8" s="1"/>
  <c r="F64" i="2"/>
  <c r="K64" i="2" s="1"/>
  <c r="F33" i="2"/>
  <c r="K33" i="2" s="1"/>
  <c r="F11" i="2"/>
  <c r="K11" i="2" s="1"/>
  <c r="D33" i="2"/>
  <c r="M33" i="2" s="1"/>
  <c r="D29" i="2"/>
  <c r="M29" i="2" s="1"/>
  <c r="D20" i="2"/>
  <c r="M20" i="2" s="1"/>
  <c r="D9" i="2"/>
  <c r="M9" i="2" s="1"/>
  <c r="D35" i="8"/>
  <c r="M35" i="8" s="1"/>
  <c r="F65" i="8"/>
  <c r="K65" i="8" s="1"/>
  <c r="F63" i="8"/>
  <c r="K63" i="8" s="1"/>
  <c r="F40" i="8"/>
  <c r="K40" i="8" s="1"/>
  <c r="F38" i="8"/>
  <c r="K38" i="8" s="1"/>
  <c r="F25" i="8"/>
  <c r="K25" i="8" s="1"/>
  <c r="F15" i="8"/>
  <c r="K15" i="8" s="1"/>
  <c r="F13" i="8"/>
  <c r="K13" i="8" s="1"/>
  <c r="F10" i="8"/>
  <c r="K10" i="8" s="1"/>
  <c r="F8" i="8"/>
  <c r="K8" i="8" s="1"/>
  <c r="D65" i="8"/>
  <c r="M65" i="8" s="1"/>
  <c r="D63" i="8"/>
  <c r="M63" i="8" s="1"/>
  <c r="D57" i="8"/>
  <c r="M57" i="8" s="1"/>
  <c r="D40" i="8"/>
  <c r="M40" i="8" s="1"/>
  <c r="D25" i="8"/>
  <c r="M25" i="8" s="1"/>
  <c r="D15" i="8"/>
  <c r="M15" i="8" s="1"/>
  <c r="D13" i="8"/>
  <c r="M13" i="8" s="1"/>
  <c r="D10" i="8"/>
  <c r="M10" i="8" s="1"/>
  <c r="D8" i="8"/>
  <c r="M8" i="8" s="1"/>
  <c r="F56" i="2"/>
  <c r="K56" i="2" s="1"/>
  <c r="F35" i="2"/>
  <c r="K35" i="2" s="1"/>
  <c r="F29" i="2"/>
  <c r="K29" i="2" s="1"/>
  <c r="F9" i="2"/>
  <c r="K9" i="2" s="1"/>
  <c r="D64" i="2"/>
  <c r="M64" i="2" s="1"/>
  <c r="D54" i="2"/>
  <c r="M54" i="2" s="1"/>
  <c r="D50" i="2"/>
  <c r="M50" i="2" s="1"/>
  <c r="D35" i="2"/>
  <c r="M35" i="2" s="1"/>
  <c r="D11" i="2"/>
  <c r="M11" i="2" s="1"/>
  <c r="D56" i="2"/>
  <c r="M56" i="2" s="1"/>
  <c r="F27" i="2"/>
  <c r="K27" i="2" s="1"/>
  <c r="F39" i="2"/>
  <c r="K39" i="2" s="1"/>
  <c r="D17" i="2"/>
  <c r="M17" i="2" s="1"/>
  <c r="D24" i="2"/>
  <c r="M24" i="2" s="1"/>
  <c r="F17" i="2"/>
  <c r="K17" i="2" s="1"/>
  <c r="D47" i="2"/>
  <c r="M47" i="2" s="1"/>
  <c r="D39" i="2"/>
  <c r="M39" i="2" s="1"/>
  <c r="D55" i="8"/>
  <c r="M55" i="8" s="1"/>
  <c r="D66" i="8"/>
  <c r="M66" i="8" s="1"/>
  <c r="D38" i="8"/>
  <c r="M38" i="8" s="1"/>
  <c r="F74" i="8"/>
  <c r="K74" i="8" s="1"/>
  <c r="F20" i="2"/>
  <c r="K20" i="2" s="1"/>
  <c r="F50" i="2"/>
  <c r="K50" i="2" s="1"/>
  <c r="F24" i="2"/>
  <c r="K24" i="2" s="1"/>
  <c r="Q55" i="8"/>
  <c r="AF19" i="9" s="1"/>
  <c r="R44" i="8"/>
  <c r="I12" i="2"/>
  <c r="I25" i="2"/>
  <c r="R12" i="2"/>
  <c r="Q17" i="2"/>
  <c r="Y12" i="2"/>
  <c r="Q27" i="2"/>
  <c r="Y14" i="9" s="1"/>
  <c r="R25" i="2"/>
  <c r="I57" i="2"/>
  <c r="R52" i="2" l="1"/>
  <c r="T52" i="2"/>
  <c r="Z52" i="2"/>
  <c r="AB52" i="2"/>
  <c r="O47" i="2"/>
  <c r="T47" i="2" s="1"/>
  <c r="T46" i="2"/>
  <c r="W47" i="2"/>
  <c r="AB47" i="2" s="1"/>
  <c r="AB46" i="2"/>
  <c r="T15" i="8"/>
  <c r="T25" i="8"/>
  <c r="AB40" i="8"/>
  <c r="AB8" i="8"/>
  <c r="AB10" i="8"/>
  <c r="AB63" i="8"/>
  <c r="AB65" i="8"/>
  <c r="T8" i="8"/>
  <c r="T40" i="8"/>
  <c r="AB25" i="8"/>
  <c r="T10" i="8"/>
  <c r="T43" i="8"/>
  <c r="T63" i="8"/>
  <c r="AB15" i="8"/>
  <c r="T65" i="8"/>
  <c r="AH12" i="9"/>
  <c r="AO12" i="9" s="1"/>
  <c r="AH14" i="9"/>
  <c r="AO14" i="9" s="1"/>
  <c r="AH23" i="9"/>
  <c r="AO23" i="9" s="1"/>
  <c r="BD17" i="9"/>
  <c r="BK17" i="9" s="1"/>
  <c r="BD9" i="9"/>
  <c r="BD10" i="9"/>
  <c r="BK10" i="9" s="1"/>
  <c r="BD22" i="9"/>
  <c r="BK22" i="9" s="1"/>
  <c r="BD12" i="9"/>
  <c r="BK12" i="9" s="1"/>
  <c r="AH9" i="9"/>
  <c r="AH17" i="9"/>
  <c r="AO17" i="9" s="1"/>
  <c r="BD23" i="9"/>
  <c r="BK23" i="9" s="1"/>
  <c r="AH10" i="9"/>
  <c r="AO10" i="9" s="1"/>
  <c r="AH18" i="9"/>
  <c r="AO18" i="9" s="1"/>
  <c r="AH22" i="9"/>
  <c r="AO22" i="9" s="1"/>
  <c r="BD14" i="9"/>
  <c r="BK14" i="9" s="1"/>
  <c r="D27" i="2"/>
  <c r="M27" i="2" s="1"/>
  <c r="M25" i="2"/>
  <c r="Z79" i="8"/>
  <c r="AA74" i="8"/>
  <c r="AB74" i="8" s="1"/>
  <c r="O54" i="2"/>
  <c r="T54" i="2" s="1"/>
  <c r="H51" i="2"/>
  <c r="I52" i="2"/>
  <c r="F47" i="2"/>
  <c r="K47" i="2" s="1"/>
  <c r="AS16" i="9"/>
  <c r="AX16" i="9" s="1"/>
  <c r="G66" i="8"/>
  <c r="G81" i="8" s="1"/>
  <c r="G82" i="8" s="1"/>
  <c r="AA66" i="8"/>
  <c r="I10" i="2"/>
  <c r="S74" i="8"/>
  <c r="T74" i="8" s="1"/>
  <c r="S66" i="8"/>
  <c r="W14" i="9"/>
  <c r="AB14" i="9" s="1"/>
  <c r="W9" i="9"/>
  <c r="AB9" i="9" s="1"/>
  <c r="W15" i="9"/>
  <c r="AB15" i="9" s="1"/>
  <c r="W10" i="9"/>
  <c r="AB10" i="9" s="1"/>
  <c r="W16" i="9"/>
  <c r="AB16" i="9" s="1"/>
  <c r="W11" i="9"/>
  <c r="AB11" i="9" s="1"/>
  <c r="W17" i="9"/>
  <c r="AB17" i="9" s="1"/>
  <c r="W12" i="9"/>
  <c r="AB12" i="9" s="1"/>
  <c r="W13" i="9"/>
  <c r="AB13" i="9" s="1"/>
  <c r="I55" i="2"/>
  <c r="I56" i="2" s="1"/>
  <c r="Z46" i="2"/>
  <c r="Z59" i="2"/>
  <c r="X54" i="2"/>
  <c r="AT21" i="9" s="1"/>
  <c r="BH21" i="9" s="1"/>
  <c r="Z9" i="2"/>
  <c r="AV9" i="9" s="1"/>
  <c r="AY9" i="9" s="1"/>
  <c r="AA25" i="9"/>
  <c r="D81" i="8"/>
  <c r="I61" i="8"/>
  <c r="Q74" i="8"/>
  <c r="Q81" i="8" s="1"/>
  <c r="C20" i="9"/>
  <c r="K20" i="9"/>
  <c r="N20" i="9" s="1"/>
  <c r="AD18" i="9"/>
  <c r="AI18" i="9" s="1"/>
  <c r="AD13" i="9"/>
  <c r="AI13" i="9" s="1"/>
  <c r="C15" i="9"/>
  <c r="C16" i="9"/>
  <c r="C14" i="9"/>
  <c r="K12" i="9"/>
  <c r="N12" i="9" s="1"/>
  <c r="AD12" i="9"/>
  <c r="AD17" i="9"/>
  <c r="AI17" i="9" s="1"/>
  <c r="AD22" i="9"/>
  <c r="AI22" i="9" s="1"/>
  <c r="R65" i="8"/>
  <c r="Z15" i="8"/>
  <c r="AD14" i="9"/>
  <c r="AI14" i="9" s="1"/>
  <c r="C17" i="9"/>
  <c r="K14" i="9"/>
  <c r="N14" i="9" s="1"/>
  <c r="K18" i="9"/>
  <c r="N18" i="9" s="1"/>
  <c r="AZ9" i="9"/>
  <c r="BE9" i="9" s="1"/>
  <c r="AZ14" i="9"/>
  <c r="BE14" i="9" s="1"/>
  <c r="AZ18" i="9"/>
  <c r="BE18" i="9" s="1"/>
  <c r="AZ23" i="9"/>
  <c r="BE23" i="9" s="1"/>
  <c r="AZ21" i="9"/>
  <c r="BE21" i="9" s="1"/>
  <c r="AZ13" i="9"/>
  <c r="BE13" i="9" s="1"/>
  <c r="Z57" i="8"/>
  <c r="R15" i="8"/>
  <c r="R25" i="8"/>
  <c r="AD9" i="9"/>
  <c r="K17" i="9"/>
  <c r="N17" i="9" s="1"/>
  <c r="AZ19" i="9"/>
  <c r="BE19" i="9" s="1"/>
  <c r="R57" i="8"/>
  <c r="Z40" i="8"/>
  <c r="C22" i="9"/>
  <c r="AZ15" i="9"/>
  <c r="BE15" i="9" s="1"/>
  <c r="C9" i="9"/>
  <c r="C23" i="9"/>
  <c r="K22" i="9"/>
  <c r="N22" i="9" s="1"/>
  <c r="AD10" i="9"/>
  <c r="AI10" i="9" s="1"/>
  <c r="AD15" i="9"/>
  <c r="AI15" i="9" s="1"/>
  <c r="AD19" i="9"/>
  <c r="AI19" i="9" s="1"/>
  <c r="C21" i="9"/>
  <c r="C13" i="9"/>
  <c r="AL20" i="9"/>
  <c r="Z8" i="8"/>
  <c r="K23" i="9"/>
  <c r="N23" i="9" s="1"/>
  <c r="AZ11" i="9"/>
  <c r="BE11" i="9" s="1"/>
  <c r="AZ16" i="9"/>
  <c r="BE16" i="9" s="1"/>
  <c r="AZ20" i="9"/>
  <c r="BE20" i="9" s="1"/>
  <c r="Z10" i="8"/>
  <c r="Z63" i="8"/>
  <c r="C19" i="9"/>
  <c r="AD23" i="9"/>
  <c r="AI23" i="9" s="1"/>
  <c r="AD21" i="9"/>
  <c r="AI21" i="9" s="1"/>
  <c r="AD16" i="9"/>
  <c r="AI16" i="9" s="1"/>
  <c r="R8" i="8"/>
  <c r="R40" i="8"/>
  <c r="Z65" i="8"/>
  <c r="AZ10" i="9"/>
  <c r="BE10" i="9" s="1"/>
  <c r="K9" i="9"/>
  <c r="N9" i="9" s="1"/>
  <c r="C11" i="9"/>
  <c r="K10" i="9"/>
  <c r="N10" i="9" s="1"/>
  <c r="C18" i="9"/>
  <c r="AD11" i="9"/>
  <c r="AI11" i="9" s="1"/>
  <c r="AD20" i="9"/>
  <c r="AI20" i="9" s="1"/>
  <c r="C12" i="9"/>
  <c r="AZ12" i="9"/>
  <c r="BE12" i="9" s="1"/>
  <c r="AZ17" i="9"/>
  <c r="BE17" i="9" s="1"/>
  <c r="AZ22" i="9"/>
  <c r="BE22" i="9" s="1"/>
  <c r="R10" i="8"/>
  <c r="R63" i="8"/>
  <c r="Z25" i="8"/>
  <c r="W21" i="9"/>
  <c r="AB21" i="9" s="1"/>
  <c r="B24" i="9"/>
  <c r="AS9" i="9"/>
  <c r="AX9" i="9" s="1"/>
  <c r="F23" i="9"/>
  <c r="I23" i="9" s="1"/>
  <c r="Z29" i="2"/>
  <c r="AS17" i="9"/>
  <c r="AX17" i="9" s="1"/>
  <c r="F9" i="9"/>
  <c r="I9" i="9" s="1"/>
  <c r="B12" i="9"/>
  <c r="B9" i="9"/>
  <c r="B23" i="9"/>
  <c r="B15" i="9"/>
  <c r="AS10" i="9"/>
  <c r="AX10" i="9" s="1"/>
  <c r="B22" i="9"/>
  <c r="B16" i="9"/>
  <c r="W18" i="9"/>
  <c r="AB18" i="9" s="1"/>
  <c r="I20" i="2"/>
  <c r="AS24" i="9"/>
  <c r="AX24" i="9" s="1"/>
  <c r="F15" i="9"/>
  <c r="I15" i="9" s="1"/>
  <c r="F17" i="9"/>
  <c r="I17" i="9" s="1"/>
  <c r="B18" i="9"/>
  <c r="B10" i="9"/>
  <c r="F22" i="9"/>
  <c r="I22" i="9" s="1"/>
  <c r="F10" i="9"/>
  <c r="I10" i="9" s="1"/>
  <c r="AS11" i="9"/>
  <c r="AX11" i="9" s="1"/>
  <c r="AS15" i="9"/>
  <c r="AX15" i="9" s="1"/>
  <c r="AS20" i="9"/>
  <c r="AX20" i="9" s="1"/>
  <c r="I58" i="2"/>
  <c r="I62" i="2" s="1"/>
  <c r="B11" i="9"/>
  <c r="F18" i="9"/>
  <c r="I18" i="9" s="1"/>
  <c r="AS19" i="9"/>
  <c r="AX19" i="9" s="1"/>
  <c r="F14" i="9"/>
  <c r="I14" i="9" s="1"/>
  <c r="AS18" i="9"/>
  <c r="AX18" i="9" s="1"/>
  <c r="F13" i="9"/>
  <c r="I13" i="9" s="1"/>
  <c r="F16" i="9"/>
  <c r="I16" i="9" s="1"/>
  <c r="W20" i="9"/>
  <c r="AB20" i="9" s="1"/>
  <c r="R64" i="2"/>
  <c r="W19" i="9"/>
  <c r="AB19" i="9" s="1"/>
  <c r="AS13" i="9"/>
  <c r="AX13" i="9" s="1"/>
  <c r="W24" i="9"/>
  <c r="AB24" i="9" s="1"/>
  <c r="AS14" i="9"/>
  <c r="AX14" i="9" s="1"/>
  <c r="B17" i="9"/>
  <c r="Q57" i="2"/>
  <c r="R57" i="2" s="1"/>
  <c r="F20" i="9"/>
  <c r="I20" i="9" s="1"/>
  <c r="F11" i="9"/>
  <c r="I11" i="9" s="1"/>
  <c r="B20" i="9"/>
  <c r="F24" i="9"/>
  <c r="I24" i="9" s="1"/>
  <c r="B14" i="9"/>
  <c r="AS12" i="9"/>
  <c r="AX12" i="9" s="1"/>
  <c r="AS22" i="9"/>
  <c r="AX22" i="9" s="1"/>
  <c r="AS23" i="9"/>
  <c r="AX23" i="9" s="1"/>
  <c r="I64" i="2"/>
  <c r="B19" i="9"/>
  <c r="F12" i="9"/>
  <c r="I12" i="9" s="1"/>
  <c r="B13" i="9"/>
  <c r="B21" i="9"/>
  <c r="F19" i="9"/>
  <c r="I19" i="9" s="1"/>
  <c r="W22" i="9"/>
  <c r="AB22" i="9" s="1"/>
  <c r="W23" i="9"/>
  <c r="AB23" i="9" s="1"/>
  <c r="R9" i="2"/>
  <c r="R29" i="2"/>
  <c r="Z64" i="2"/>
  <c r="I40" i="2"/>
  <c r="I29" i="2"/>
  <c r="R43" i="8"/>
  <c r="I65" i="8"/>
  <c r="I57" i="8"/>
  <c r="K19" i="9"/>
  <c r="N19" i="9" s="1"/>
  <c r="I63" i="8"/>
  <c r="I8" i="8"/>
  <c r="K15" i="9"/>
  <c r="N15" i="9" s="1"/>
  <c r="I10" i="8"/>
  <c r="I15" i="8"/>
  <c r="I25" i="8"/>
  <c r="I38" i="8"/>
  <c r="K16" i="9"/>
  <c r="N16" i="9" s="1"/>
  <c r="K21" i="9"/>
  <c r="N21" i="9" s="1"/>
  <c r="K13" i="9"/>
  <c r="N13" i="9" s="1"/>
  <c r="I40" i="8"/>
  <c r="BB15" i="9"/>
  <c r="Z43" i="8"/>
  <c r="Y74" i="8"/>
  <c r="Y81" i="8" s="1"/>
  <c r="Y82" i="8" s="1"/>
  <c r="AL19" i="9"/>
  <c r="Z35" i="8"/>
  <c r="Z74" i="8"/>
  <c r="R38" i="8"/>
  <c r="Z61" i="8"/>
  <c r="I13" i="8"/>
  <c r="I43" i="8"/>
  <c r="R61" i="8"/>
  <c r="O81" i="8"/>
  <c r="Z38" i="8"/>
  <c r="H81" i="8"/>
  <c r="W81" i="8"/>
  <c r="BH13" i="9"/>
  <c r="BH15" i="9"/>
  <c r="H35" i="8"/>
  <c r="R66" i="8"/>
  <c r="Z23" i="8"/>
  <c r="AF11" i="9"/>
  <c r="AL10" i="9"/>
  <c r="R55" i="8"/>
  <c r="I55" i="8"/>
  <c r="C10" i="9"/>
  <c r="I23" i="8"/>
  <c r="X81" i="8"/>
  <c r="BA24" i="9" s="1"/>
  <c r="BA25" i="9" s="1"/>
  <c r="R23" i="8"/>
  <c r="I66" i="8"/>
  <c r="I74" i="8"/>
  <c r="AE15" i="9"/>
  <c r="AL13" i="9"/>
  <c r="R74" i="8"/>
  <c r="Z13" i="8"/>
  <c r="P74" i="8"/>
  <c r="I26" i="8"/>
  <c r="AL16" i="9"/>
  <c r="R13" i="8"/>
  <c r="F81" i="8"/>
  <c r="K81" i="8" s="1"/>
  <c r="AM14" i="9"/>
  <c r="BH14" i="9"/>
  <c r="BH23" i="9"/>
  <c r="Z55" i="8"/>
  <c r="BI9" i="9"/>
  <c r="BI12" i="9"/>
  <c r="BH20" i="9"/>
  <c r="R35" i="8"/>
  <c r="Z66" i="8"/>
  <c r="BH11" i="9"/>
  <c r="I30" i="8"/>
  <c r="AL18" i="9"/>
  <c r="Y27" i="2"/>
  <c r="I36" i="2"/>
  <c r="I27" i="2"/>
  <c r="Z25" i="2"/>
  <c r="Q30" i="2"/>
  <c r="Q33" i="2" s="1"/>
  <c r="I33" i="2"/>
  <c r="R17" i="2"/>
  <c r="W54" i="2"/>
  <c r="AB54" i="2" s="1"/>
  <c r="F54" i="2"/>
  <c r="K54" i="2" s="1"/>
  <c r="Y17" i="2"/>
  <c r="AU11" i="9" s="1"/>
  <c r="I46" i="2"/>
  <c r="I34" i="2"/>
  <c r="R20" i="2"/>
  <c r="R59" i="2"/>
  <c r="BH10" i="9"/>
  <c r="AM15" i="9"/>
  <c r="AL9" i="9"/>
  <c r="AL11" i="9"/>
  <c r="AL17" i="9"/>
  <c r="AM12" i="9"/>
  <c r="BH18" i="9"/>
  <c r="AL12" i="9"/>
  <c r="AL14" i="9"/>
  <c r="BH16" i="9"/>
  <c r="BH17" i="9"/>
  <c r="BH22" i="9"/>
  <c r="I50" i="2"/>
  <c r="Q48" i="2"/>
  <c r="R27" i="2"/>
  <c r="R46" i="2"/>
  <c r="AL23" i="9"/>
  <c r="Z12" i="2"/>
  <c r="P54" i="2"/>
  <c r="X21" i="9" s="1"/>
  <c r="AL21" i="9" s="1"/>
  <c r="I9" i="2"/>
  <c r="AM9" i="9"/>
  <c r="O65" i="2"/>
  <c r="T65" i="2" s="1"/>
  <c r="I17" i="2"/>
  <c r="AT9" i="9"/>
  <c r="BH12" i="9"/>
  <c r="K11" i="9"/>
  <c r="N11" i="9" s="1"/>
  <c r="Z20" i="2"/>
  <c r="AL22" i="9"/>
  <c r="AU15" i="9"/>
  <c r="BB13" i="9"/>
  <c r="D65" i="2"/>
  <c r="M65" i="2" s="1"/>
  <c r="Y11" i="9"/>
  <c r="BH19" i="9"/>
  <c r="Q21" i="2"/>
  <c r="I24" i="2"/>
  <c r="AU24" i="9"/>
  <c r="AI12" i="9" l="1"/>
  <c r="AI9" i="9"/>
  <c r="S81" i="8"/>
  <c r="T66" i="8"/>
  <c r="C24" i="9"/>
  <c r="D24" i="9" s="1"/>
  <c r="U24" i="9" s="1"/>
  <c r="M81" i="8"/>
  <c r="AB66" i="8"/>
  <c r="AA81" i="8"/>
  <c r="AO9" i="9"/>
  <c r="BK9" i="9"/>
  <c r="D82" i="8"/>
  <c r="L21" i="9"/>
  <c r="O21" i="9" s="1"/>
  <c r="I11" i="2"/>
  <c r="H54" i="2"/>
  <c r="X65" i="2"/>
  <c r="Q10" i="2"/>
  <c r="Q11" i="2" s="1"/>
  <c r="I51" i="2"/>
  <c r="I54" i="2" s="1"/>
  <c r="K82" i="8"/>
  <c r="I47" i="2"/>
  <c r="G19" i="9" s="1"/>
  <c r="J19" i="9" s="1"/>
  <c r="Q55" i="2"/>
  <c r="Y55" i="2" s="1"/>
  <c r="Z55" i="2" s="1"/>
  <c r="Z56" i="2" s="1"/>
  <c r="W82" i="8"/>
  <c r="D18" i="9"/>
  <c r="U18" i="9" s="1"/>
  <c r="BG16" i="9"/>
  <c r="BL16" i="9" s="1"/>
  <c r="AK16" i="9"/>
  <c r="AP16" i="9" s="1"/>
  <c r="AK18" i="9"/>
  <c r="AP18" i="9" s="1"/>
  <c r="BB24" i="9"/>
  <c r="P10" i="9"/>
  <c r="S10" i="9" s="1"/>
  <c r="AK14" i="9"/>
  <c r="AP14" i="9" s="1"/>
  <c r="AK17" i="9"/>
  <c r="AP17" i="9" s="1"/>
  <c r="BG11" i="9"/>
  <c r="BL11" i="9" s="1"/>
  <c r="D16" i="9"/>
  <c r="U16" i="9" s="1"/>
  <c r="AK9" i="9"/>
  <c r="D84" i="8"/>
  <c r="D21" i="9"/>
  <c r="U21" i="9" s="1"/>
  <c r="D22" i="9"/>
  <c r="U22" i="9" s="1"/>
  <c r="D12" i="9"/>
  <c r="U12" i="9" s="1"/>
  <c r="Y57" i="2"/>
  <c r="BG22" i="9"/>
  <c r="BL22" i="9" s="1"/>
  <c r="Q62" i="2"/>
  <c r="D14" i="9"/>
  <c r="U14" i="9" s="1"/>
  <c r="D19" i="9"/>
  <c r="U19" i="9" s="1"/>
  <c r="AK22" i="9"/>
  <c r="AP22" i="9" s="1"/>
  <c r="BI11" i="9"/>
  <c r="D9" i="9"/>
  <c r="U9" i="9" s="1"/>
  <c r="AK15" i="9"/>
  <c r="AP15" i="9" s="1"/>
  <c r="P16" i="9"/>
  <c r="S16" i="9" s="1"/>
  <c r="BG19" i="9"/>
  <c r="BL19" i="9" s="1"/>
  <c r="AK11" i="9"/>
  <c r="AP11" i="9" s="1"/>
  <c r="D23" i="9"/>
  <c r="U23" i="9" s="1"/>
  <c r="BG14" i="9"/>
  <c r="BL14" i="9" s="1"/>
  <c r="AK13" i="9"/>
  <c r="AP13" i="9" s="1"/>
  <c r="P9" i="9"/>
  <c r="S9" i="9" s="1"/>
  <c r="P12" i="9"/>
  <c r="S12" i="9" s="1"/>
  <c r="AK23" i="9"/>
  <c r="AP23" i="9" s="1"/>
  <c r="BG13" i="9"/>
  <c r="BL13" i="9" s="1"/>
  <c r="D17" i="9"/>
  <c r="U17" i="9" s="1"/>
  <c r="AB25" i="9"/>
  <c r="D11" i="9"/>
  <c r="U11" i="9" s="1"/>
  <c r="D15" i="9"/>
  <c r="U15" i="9" s="1"/>
  <c r="D20" i="9"/>
  <c r="U20" i="9" s="1"/>
  <c r="AK19" i="9"/>
  <c r="AP19" i="9" s="1"/>
  <c r="P23" i="9"/>
  <c r="S23" i="9" s="1"/>
  <c r="BG20" i="9"/>
  <c r="BL20" i="9" s="1"/>
  <c r="BG23" i="9"/>
  <c r="BL23" i="9" s="1"/>
  <c r="AK21" i="9"/>
  <c r="AP21" i="9" s="1"/>
  <c r="P14" i="9"/>
  <c r="S14" i="9" s="1"/>
  <c r="P13" i="9"/>
  <c r="S13" i="9" s="1"/>
  <c r="AK20" i="9"/>
  <c r="AP20" i="9" s="1"/>
  <c r="P22" i="9"/>
  <c r="S22" i="9" s="1"/>
  <c r="W25" i="9"/>
  <c r="BG12" i="9"/>
  <c r="BL12" i="9" s="1"/>
  <c r="AK12" i="9"/>
  <c r="AP12" i="9" s="1"/>
  <c r="D13" i="9"/>
  <c r="U13" i="9" s="1"/>
  <c r="BG17" i="9"/>
  <c r="BL17" i="9" s="1"/>
  <c r="C25" i="9"/>
  <c r="AK10" i="9"/>
  <c r="AP10" i="9" s="1"/>
  <c r="BG15" i="9"/>
  <c r="BL15" i="9" s="1"/>
  <c r="P17" i="9"/>
  <c r="S17" i="9" s="1"/>
  <c r="BC19" i="9"/>
  <c r="BF19" i="9" s="1"/>
  <c r="AZ24" i="9"/>
  <c r="BG24" i="9" s="1"/>
  <c r="BC23" i="9"/>
  <c r="BF23" i="9" s="1"/>
  <c r="AG15" i="9"/>
  <c r="AJ15" i="9" s="1"/>
  <c r="BC22" i="9"/>
  <c r="BF22" i="9" s="1"/>
  <c r="BC16" i="9"/>
  <c r="BF16" i="9" s="1"/>
  <c r="AG18" i="9"/>
  <c r="AJ18" i="9" s="1"/>
  <c r="BC14" i="9"/>
  <c r="BF14" i="9" s="1"/>
  <c r="AG17" i="9"/>
  <c r="AJ17" i="9" s="1"/>
  <c r="BC17" i="9"/>
  <c r="BF17" i="9" s="1"/>
  <c r="AG14" i="9"/>
  <c r="AJ14" i="9" s="1"/>
  <c r="AG19" i="9"/>
  <c r="AJ19" i="9" s="1"/>
  <c r="BC15" i="9"/>
  <c r="BF15" i="9" s="1"/>
  <c r="BC10" i="9"/>
  <c r="BF10" i="9" s="1"/>
  <c r="BC20" i="9"/>
  <c r="BF20" i="9" s="1"/>
  <c r="BC12" i="9"/>
  <c r="BF12" i="9" s="1"/>
  <c r="BC21" i="9"/>
  <c r="BF21" i="9" s="1"/>
  <c r="AG22" i="9"/>
  <c r="AJ22" i="9" s="1"/>
  <c r="AG9" i="9"/>
  <c r="AJ9" i="9" s="1"/>
  <c r="AG20" i="9"/>
  <c r="AJ20" i="9" s="1"/>
  <c r="AG12" i="9"/>
  <c r="AJ12" i="9" s="1"/>
  <c r="AG13" i="9"/>
  <c r="AJ13" i="9" s="1"/>
  <c r="AD24" i="9"/>
  <c r="AD25" i="9" s="1"/>
  <c r="BC9" i="9"/>
  <c r="AG23" i="9"/>
  <c r="AJ23" i="9" s="1"/>
  <c r="AG16" i="9"/>
  <c r="AJ16" i="9" s="1"/>
  <c r="AG10" i="9"/>
  <c r="AJ10" i="9" s="1"/>
  <c r="BC11" i="9"/>
  <c r="BF11" i="9" s="1"/>
  <c r="AG21" i="9"/>
  <c r="AJ21" i="9" s="1"/>
  <c r="BC18" i="9"/>
  <c r="BF18" i="9" s="1"/>
  <c r="AG11" i="9"/>
  <c r="AJ11" i="9" s="1"/>
  <c r="BC13" i="9"/>
  <c r="BF13" i="9" s="1"/>
  <c r="G16" i="9"/>
  <c r="J16" i="9" s="1"/>
  <c r="G13" i="9"/>
  <c r="J13" i="9" s="1"/>
  <c r="AV12" i="9"/>
  <c r="BG18" i="9"/>
  <c r="BL18" i="9" s="1"/>
  <c r="P20" i="9"/>
  <c r="S20" i="9" s="1"/>
  <c r="Z11" i="9"/>
  <c r="AC11" i="9" s="1"/>
  <c r="Q36" i="2"/>
  <c r="Z15" i="9"/>
  <c r="AC15" i="9" s="1"/>
  <c r="Z24" i="9"/>
  <c r="AC24" i="9" s="1"/>
  <c r="AV15" i="9"/>
  <c r="AS21" i="9"/>
  <c r="AS25" i="9" s="1"/>
  <c r="Z9" i="9"/>
  <c r="B25" i="9"/>
  <c r="Z17" i="2"/>
  <c r="Q40" i="2"/>
  <c r="G24" i="9"/>
  <c r="J24" i="9" s="1"/>
  <c r="BG10" i="9"/>
  <c r="BL10" i="9" s="1"/>
  <c r="P18" i="9"/>
  <c r="S18" i="9" s="1"/>
  <c r="R30" i="2"/>
  <c r="I39" i="2"/>
  <c r="G20" i="9"/>
  <c r="J20" i="9" s="1"/>
  <c r="Z12" i="9"/>
  <c r="AU14" i="9"/>
  <c r="G12" i="9"/>
  <c r="J12" i="9" s="1"/>
  <c r="G15" i="9"/>
  <c r="J15" i="9" s="1"/>
  <c r="Y30" i="2"/>
  <c r="Y33" i="2" s="1"/>
  <c r="G23" i="9"/>
  <c r="J23" i="9" s="1"/>
  <c r="Z27" i="2"/>
  <c r="G22" i="9"/>
  <c r="J22" i="9" s="1"/>
  <c r="G10" i="9"/>
  <c r="J10" i="9" s="1"/>
  <c r="F21" i="9"/>
  <c r="W65" i="2"/>
  <c r="AB65" i="2" s="1"/>
  <c r="Z14" i="9"/>
  <c r="AC14" i="9" s="1"/>
  <c r="G14" i="9"/>
  <c r="J14" i="9" s="1"/>
  <c r="AV24" i="9"/>
  <c r="AY24" i="9" s="1"/>
  <c r="G9" i="9"/>
  <c r="J9" i="9" s="1"/>
  <c r="BG9" i="9"/>
  <c r="P19" i="9"/>
  <c r="S19" i="9" s="1"/>
  <c r="D10" i="9"/>
  <c r="U10" i="9" s="1"/>
  <c r="O82" i="8"/>
  <c r="O84" i="8" s="1"/>
  <c r="L12" i="9"/>
  <c r="O12" i="9" s="1"/>
  <c r="L22" i="9"/>
  <c r="O22" i="9" s="1"/>
  <c r="P15" i="9"/>
  <c r="S15" i="9" s="1"/>
  <c r="L17" i="9"/>
  <c r="O17" i="9" s="1"/>
  <c r="L18" i="9"/>
  <c r="O18" i="9" s="1"/>
  <c r="L19" i="9"/>
  <c r="O19" i="9" s="1"/>
  <c r="L11" i="9"/>
  <c r="O11" i="9" s="1"/>
  <c r="L16" i="9"/>
  <c r="O16" i="9" s="1"/>
  <c r="L9" i="9"/>
  <c r="O9" i="9" s="1"/>
  <c r="L13" i="9"/>
  <c r="O13" i="9" s="1"/>
  <c r="L10" i="9"/>
  <c r="O10" i="9" s="1"/>
  <c r="L20" i="9"/>
  <c r="O20" i="9" s="1"/>
  <c r="K24" i="9"/>
  <c r="L14" i="9"/>
  <c r="O14" i="9" s="1"/>
  <c r="L23" i="9"/>
  <c r="O23" i="9" s="1"/>
  <c r="AL15" i="9"/>
  <c r="X82" i="8"/>
  <c r="X84" i="8" s="1"/>
  <c r="BH24" i="9"/>
  <c r="Z81" i="8"/>
  <c r="R81" i="8"/>
  <c r="R82" i="8" s="1"/>
  <c r="H82" i="8"/>
  <c r="I81" i="8"/>
  <c r="F82" i="8"/>
  <c r="I35" i="8"/>
  <c r="Q82" i="8"/>
  <c r="AF24" i="9"/>
  <c r="P81" i="8"/>
  <c r="G84" i="8"/>
  <c r="R62" i="2"/>
  <c r="Y56" i="2"/>
  <c r="Y10" i="2"/>
  <c r="I35" i="2"/>
  <c r="Q34" i="2"/>
  <c r="F65" i="2"/>
  <c r="K65" i="2" s="1"/>
  <c r="X25" i="9"/>
  <c r="P65" i="2"/>
  <c r="R48" i="2"/>
  <c r="Y48" i="2"/>
  <c r="Q50" i="2"/>
  <c r="AM11" i="9"/>
  <c r="P11" i="9"/>
  <c r="S11" i="9" s="1"/>
  <c r="Y16" i="9"/>
  <c r="BH9" i="9"/>
  <c r="AT25" i="9"/>
  <c r="Q24" i="2"/>
  <c r="R21" i="2"/>
  <c r="Y21" i="2"/>
  <c r="G11" i="9"/>
  <c r="J11" i="9" s="1"/>
  <c r="BI15" i="9"/>
  <c r="BL9" i="9" l="1"/>
  <c r="AB81" i="8"/>
  <c r="AB82" i="8" s="1"/>
  <c r="AB84" i="8" s="1"/>
  <c r="BD24" i="9"/>
  <c r="AA82" i="8"/>
  <c r="AA84" i="8" s="1"/>
  <c r="AP9" i="9"/>
  <c r="T81" i="8"/>
  <c r="T82" i="8" s="1"/>
  <c r="T84" i="8" s="1"/>
  <c r="AH24" i="9"/>
  <c r="S82" i="8"/>
  <c r="S84" i="8" s="1"/>
  <c r="U25" i="9"/>
  <c r="R28" i="9" s="1"/>
  <c r="R10" i="2"/>
  <c r="H65" i="2"/>
  <c r="Q51" i="2"/>
  <c r="Q54" i="2" s="1"/>
  <c r="Y23" i="9"/>
  <c r="N24" i="9"/>
  <c r="N25" i="9" s="1"/>
  <c r="I21" i="9"/>
  <c r="I25" i="9" s="1"/>
  <c r="R55" i="2"/>
  <c r="Q56" i="2"/>
  <c r="W84" i="8"/>
  <c r="BB25" i="9"/>
  <c r="BI24" i="9"/>
  <c r="Z30" i="2"/>
  <c r="Z33" i="2" s="1"/>
  <c r="Z57" i="2"/>
  <c r="Y62" i="2"/>
  <c r="AN11" i="9"/>
  <c r="AQ11" i="9" s="1"/>
  <c r="P21" i="9"/>
  <c r="S21" i="9" s="1"/>
  <c r="AN14" i="9"/>
  <c r="AQ14" i="9" s="1"/>
  <c r="D25" i="9"/>
  <c r="Q20" i="9"/>
  <c r="T20" i="9" s="1"/>
  <c r="BJ12" i="9"/>
  <c r="BM12" i="9" s="1"/>
  <c r="BF9" i="9"/>
  <c r="BJ9" i="9"/>
  <c r="BM9" i="9" s="1"/>
  <c r="BC24" i="9"/>
  <c r="BE24" i="9"/>
  <c r="BE25" i="9" s="1"/>
  <c r="AZ25" i="9"/>
  <c r="AG24" i="9"/>
  <c r="AG25" i="9" s="1"/>
  <c r="AI24" i="9"/>
  <c r="AI25" i="9" s="1"/>
  <c r="AK24" i="9"/>
  <c r="G17" i="9"/>
  <c r="J17" i="9" s="1"/>
  <c r="K84" i="8"/>
  <c r="G18" i="9"/>
  <c r="J18" i="9" s="1"/>
  <c r="AV11" i="9"/>
  <c r="AX21" i="9"/>
  <c r="AX25" i="9" s="1"/>
  <c r="BG21" i="9"/>
  <c r="AC12" i="9"/>
  <c r="AN12" i="9"/>
  <c r="AQ12" i="9" s="1"/>
  <c r="AC9" i="9"/>
  <c r="AN9" i="9"/>
  <c r="AQ9" i="9" s="1"/>
  <c r="Q39" i="2"/>
  <c r="Y36" i="2"/>
  <c r="R36" i="2"/>
  <c r="BI14" i="9"/>
  <c r="G21" i="9"/>
  <c r="J21" i="9" s="1"/>
  <c r="AV22" i="9"/>
  <c r="AN15" i="9"/>
  <c r="AQ15" i="9" s="1"/>
  <c r="Y51" i="2"/>
  <c r="AV14" i="9"/>
  <c r="Q47" i="2"/>
  <c r="Y40" i="2"/>
  <c r="R40" i="2"/>
  <c r="R11" i="2"/>
  <c r="R33" i="2"/>
  <c r="R24" i="2"/>
  <c r="Z23" i="9"/>
  <c r="AC23" i="9" s="1"/>
  <c r="Y11" i="2"/>
  <c r="AU10" i="9" s="1"/>
  <c r="AY12" i="9"/>
  <c r="F25" i="9"/>
  <c r="AY15" i="9"/>
  <c r="BJ15" i="9"/>
  <c r="BM15" i="9" s="1"/>
  <c r="R50" i="2"/>
  <c r="R51" i="2"/>
  <c r="Q13" i="9"/>
  <c r="T13" i="9" s="1"/>
  <c r="Q10" i="9"/>
  <c r="T10" i="9" s="1"/>
  <c r="L24" i="9"/>
  <c r="Q14" i="9"/>
  <c r="T14" i="9" s="1"/>
  <c r="K25" i="9"/>
  <c r="Q19" i="9"/>
  <c r="T19" i="9" s="1"/>
  <c r="P24" i="9"/>
  <c r="S24" i="9" s="1"/>
  <c r="Q22" i="9"/>
  <c r="T22" i="9" s="1"/>
  <c r="L15" i="9"/>
  <c r="O15" i="9" s="1"/>
  <c r="Q23" i="9"/>
  <c r="T23" i="9" s="1"/>
  <c r="Q9" i="9"/>
  <c r="T9" i="9" s="1"/>
  <c r="Q16" i="9"/>
  <c r="T16" i="9" s="1"/>
  <c r="Q12" i="9"/>
  <c r="T12" i="9" s="1"/>
  <c r="Z82" i="8"/>
  <c r="I82" i="8"/>
  <c r="F84" i="8"/>
  <c r="AE24" i="9"/>
  <c r="P82" i="8"/>
  <c r="AM24" i="9"/>
  <c r="AF25" i="9"/>
  <c r="Y10" i="9"/>
  <c r="AM23" i="9"/>
  <c r="I65" i="2"/>
  <c r="AU22" i="9"/>
  <c r="Z10" i="2"/>
  <c r="R34" i="2"/>
  <c r="Q35" i="2"/>
  <c r="Y34" i="2"/>
  <c r="Y20" i="9"/>
  <c r="Y50" i="2"/>
  <c r="Z48" i="2"/>
  <c r="Y21" i="9"/>
  <c r="Z21" i="2"/>
  <c r="Y24" i="2"/>
  <c r="Y13" i="9"/>
  <c r="BH25" i="9"/>
  <c r="AM16" i="9"/>
  <c r="Q11" i="9"/>
  <c r="T11" i="9" s="1"/>
  <c r="H84" i="8"/>
  <c r="AU16" i="9"/>
  <c r="BF24" i="9" l="1"/>
  <c r="BK24" i="9"/>
  <c r="BD25" i="9"/>
  <c r="AO24" i="9"/>
  <c r="AO25" i="9" s="1"/>
  <c r="AH25" i="9"/>
  <c r="Y22" i="9"/>
  <c r="AM22" i="9" s="1"/>
  <c r="R56" i="2"/>
  <c r="Z22" i="9" s="1"/>
  <c r="AN22" i="9" s="1"/>
  <c r="AQ22" i="9" s="1"/>
  <c r="Q24" i="9"/>
  <c r="T24" i="9" s="1"/>
  <c r="O24" i="9"/>
  <c r="Z13" i="9"/>
  <c r="AC13" i="9" s="1"/>
  <c r="S25" i="9"/>
  <c r="R29" i="9" s="1"/>
  <c r="BL21" i="9"/>
  <c r="AU23" i="9"/>
  <c r="Q65" i="2"/>
  <c r="Z62" i="2"/>
  <c r="BC25" i="9"/>
  <c r="BJ24" i="9"/>
  <c r="BM24" i="9" s="1"/>
  <c r="Q17" i="9"/>
  <c r="T17" i="9" s="1"/>
  <c r="G25" i="9"/>
  <c r="Q18" i="9"/>
  <c r="T18" i="9" s="1"/>
  <c r="AJ24" i="9"/>
  <c r="AJ25" i="9" s="1"/>
  <c r="AN23" i="9"/>
  <c r="AQ23" i="9" s="1"/>
  <c r="AN24" i="9"/>
  <c r="BG25" i="9"/>
  <c r="AK25" i="9"/>
  <c r="BF25" i="9"/>
  <c r="Z20" i="9"/>
  <c r="Z10" i="9"/>
  <c r="I84" i="8"/>
  <c r="Y54" i="2"/>
  <c r="AU21" i="9" s="1"/>
  <c r="Z24" i="2"/>
  <c r="R47" i="2"/>
  <c r="Q21" i="9"/>
  <c r="T21" i="9" s="1"/>
  <c r="J25" i="9"/>
  <c r="R39" i="2"/>
  <c r="BJ11" i="9"/>
  <c r="AY11" i="9"/>
  <c r="Z40" i="2"/>
  <c r="Y47" i="2"/>
  <c r="BJ22" i="9"/>
  <c r="BM22" i="9" s="1"/>
  <c r="AY22" i="9"/>
  <c r="Z36" i="2"/>
  <c r="Y39" i="2"/>
  <c r="AV16" i="9"/>
  <c r="Z11" i="2"/>
  <c r="Y19" i="9"/>
  <c r="Y18" i="9"/>
  <c r="Z51" i="2"/>
  <c r="Z50" i="2"/>
  <c r="R35" i="2"/>
  <c r="R54" i="2"/>
  <c r="Z16" i="9"/>
  <c r="BJ14" i="9"/>
  <c r="BM14" i="9" s="1"/>
  <c r="AY14" i="9"/>
  <c r="AM10" i="9"/>
  <c r="Q15" i="9"/>
  <c r="T15" i="9" s="1"/>
  <c r="L25" i="9"/>
  <c r="O25" i="9"/>
  <c r="P84" i="8"/>
  <c r="P25" i="9"/>
  <c r="M82" i="8"/>
  <c r="AE25" i="9"/>
  <c r="AL24" i="9"/>
  <c r="AL25" i="9" s="1"/>
  <c r="BI22" i="9"/>
  <c r="Y35" i="2"/>
  <c r="Z34" i="2"/>
  <c r="Y17" i="9"/>
  <c r="BI10" i="9"/>
  <c r="AM20" i="9"/>
  <c r="AU20" i="9"/>
  <c r="AM21" i="9"/>
  <c r="AM13" i="9"/>
  <c r="BI16" i="9"/>
  <c r="Q84" i="8"/>
  <c r="AU13" i="9"/>
  <c r="AQ24" i="9" l="1"/>
  <c r="BL24" i="9"/>
  <c r="BL25" i="9" s="1"/>
  <c r="BK29" i="9" s="1"/>
  <c r="BK25" i="9"/>
  <c r="AP24" i="9"/>
  <c r="AP25" i="9" s="1"/>
  <c r="AO29" i="9" s="1"/>
  <c r="T25" i="9"/>
  <c r="AC22" i="9"/>
  <c r="AN13" i="9"/>
  <c r="AQ13" i="9" s="1"/>
  <c r="I87" i="8"/>
  <c r="I106" i="8"/>
  <c r="M84" i="8"/>
  <c r="AV23" i="9"/>
  <c r="BI23" i="9"/>
  <c r="AV13" i="9"/>
  <c r="AY13" i="9" s="1"/>
  <c r="I89" i="8"/>
  <c r="I90" i="8"/>
  <c r="Z54" i="2"/>
  <c r="Z18" i="9"/>
  <c r="Z17" i="9"/>
  <c r="R65" i="2"/>
  <c r="AV10" i="9"/>
  <c r="AC10" i="9"/>
  <c r="AN10" i="9"/>
  <c r="AQ10" i="9" s="1"/>
  <c r="Z39" i="2"/>
  <c r="Z21" i="9"/>
  <c r="AM18" i="9"/>
  <c r="AU19" i="9"/>
  <c r="Q25" i="9"/>
  <c r="Y25" i="9"/>
  <c r="AY16" i="9"/>
  <c r="BJ16" i="9"/>
  <c r="BM16" i="9" s="1"/>
  <c r="Z19" i="9"/>
  <c r="AN20" i="9"/>
  <c r="AQ20" i="9" s="1"/>
  <c r="AC20" i="9"/>
  <c r="Z35" i="2"/>
  <c r="Z47" i="2"/>
  <c r="Y65" i="2"/>
  <c r="Y84" i="8" s="1"/>
  <c r="AN16" i="9"/>
  <c r="AQ16" i="9" s="1"/>
  <c r="AC16" i="9"/>
  <c r="AV20" i="9"/>
  <c r="AM19" i="9"/>
  <c r="AU18" i="9"/>
  <c r="AM17" i="9"/>
  <c r="AU17" i="9"/>
  <c r="BI20" i="9"/>
  <c r="BI13" i="9"/>
  <c r="BI21" i="9"/>
  <c r="BJ13" i="9" l="1"/>
  <c r="BJ23" i="9"/>
  <c r="AY23" i="9"/>
  <c r="R30" i="9"/>
  <c r="AV19" i="9"/>
  <c r="AN21" i="9"/>
  <c r="AQ21" i="9" s="1"/>
  <c r="AC21" i="9"/>
  <c r="AV17" i="9"/>
  <c r="AV18" i="9"/>
  <c r="BI19" i="9"/>
  <c r="AC18" i="9"/>
  <c r="AN18" i="9"/>
  <c r="AQ18" i="9" s="1"/>
  <c r="AC17" i="9"/>
  <c r="AN17" i="9"/>
  <c r="AQ17" i="9" s="1"/>
  <c r="BJ20" i="9"/>
  <c r="BM20" i="9" s="1"/>
  <c r="AY20" i="9"/>
  <c r="Z65" i="2"/>
  <c r="BI18" i="9"/>
  <c r="AN19" i="9"/>
  <c r="AQ19" i="9" s="1"/>
  <c r="AC19" i="9"/>
  <c r="BJ10" i="9"/>
  <c r="BM10" i="9" s="1"/>
  <c r="AY10" i="9"/>
  <c r="AV21" i="9"/>
  <c r="R84" i="8"/>
  <c r="Z25" i="9"/>
  <c r="AM25" i="9"/>
  <c r="BI17" i="9"/>
  <c r="AU25" i="9"/>
  <c r="BM13" i="9" l="1"/>
  <c r="BI25" i="9"/>
  <c r="BJ18" i="9"/>
  <c r="BM18" i="9" s="1"/>
  <c r="AY18" i="9"/>
  <c r="AC25" i="9"/>
  <c r="AV25" i="9"/>
  <c r="BJ17" i="9"/>
  <c r="BM17" i="9" s="1"/>
  <c r="AY17" i="9"/>
  <c r="R89" i="8"/>
  <c r="R87" i="8"/>
  <c r="R90" i="8"/>
  <c r="Z84" i="8"/>
  <c r="BJ21" i="9"/>
  <c r="BM21" i="9" s="1"/>
  <c r="AY21" i="9"/>
  <c r="AN25" i="9"/>
  <c r="AY19" i="9"/>
  <c r="BJ19" i="9"/>
  <c r="BM19" i="9" s="1"/>
  <c r="AQ25" i="9" l="1"/>
  <c r="AO30" i="9" s="1"/>
  <c r="AY25" i="9"/>
  <c r="BJ25" i="9"/>
  <c r="Z89" i="8"/>
  <c r="Z87" i="8"/>
  <c r="BM25" i="9" l="1"/>
  <c r="BK30" i="9" s="1"/>
</calcChain>
</file>

<file path=xl/sharedStrings.xml><?xml version="1.0" encoding="utf-8"?>
<sst xmlns="http://schemas.openxmlformats.org/spreadsheetml/2006/main" count="494" uniqueCount="244">
  <si>
    <t>CELKEM</t>
  </si>
  <si>
    <t>Kód</t>
  </si>
  <si>
    <t>AV ČR</t>
  </si>
  <si>
    <t>GA ČR</t>
  </si>
  <si>
    <t>MK ČR</t>
  </si>
  <si>
    <t>MO</t>
  </si>
  <si>
    <t>MPO</t>
  </si>
  <si>
    <t>MŠMT</t>
  </si>
  <si>
    <t>-</t>
  </si>
  <si>
    <t>LL</t>
  </si>
  <si>
    <t>MV</t>
  </si>
  <si>
    <t>MZe</t>
  </si>
  <si>
    <t>ÚV ČR</t>
  </si>
  <si>
    <t>TA ČR</t>
  </si>
  <si>
    <t>ČR</t>
  </si>
  <si>
    <t>TH</t>
  </si>
  <si>
    <t>GA</t>
  </si>
  <si>
    <t>GC</t>
  </si>
  <si>
    <t>Náklady na činnost AV ČR</t>
  </si>
  <si>
    <t>Náklady na činnost GA ČR</t>
  </si>
  <si>
    <t>MZd</t>
  </si>
  <si>
    <t>MD</t>
  </si>
  <si>
    <t>MPSV</t>
  </si>
  <si>
    <t>MZV</t>
  </si>
  <si>
    <t>MŽP</t>
  </si>
  <si>
    <t>Náklady na činnost TA ČR</t>
  </si>
  <si>
    <t>Rozp. kapit.</t>
  </si>
  <si>
    <t>Náklady na činnost MŠMT</t>
  </si>
  <si>
    <t>GX</t>
  </si>
  <si>
    <t>QK</t>
  </si>
  <si>
    <t>LM</t>
  </si>
  <si>
    <t>LT</t>
  </si>
  <si>
    <t>TK</t>
  </si>
  <si>
    <t>TN</t>
  </si>
  <si>
    <t>TM</t>
  </si>
  <si>
    <t>Celkem</t>
  </si>
  <si>
    <t>NU</t>
  </si>
  <si>
    <t>FX</t>
  </si>
  <si>
    <t>Standardní projekty (1993-….)</t>
  </si>
  <si>
    <t>Mezinárodní projekty (2007-….)</t>
  </si>
  <si>
    <t>LA granty - mezinár. granty na principu hodnocení Lead Agency (2015-….)</t>
  </si>
  <si>
    <t>Grantové projekty JUNIOR STAR (2021-….)</t>
  </si>
  <si>
    <t>POSTDOC Individual Fellowship (2021-….)</t>
  </si>
  <si>
    <t>program The Country for the Future (2020-2027)</t>
  </si>
  <si>
    <t>Program aplikovaného výzkumu MZe "Země" (2017-2025)</t>
  </si>
  <si>
    <t>Inter-Excellence (2016-2024)</t>
  </si>
  <si>
    <t>Program aplik. VaV národní a kulturní identity - NAKI III (2023-2030)</t>
  </si>
  <si>
    <t>THÉTA (2018-2025)</t>
  </si>
  <si>
    <t>DELTA2 (2020-2025)</t>
  </si>
  <si>
    <t>VJ</t>
  </si>
  <si>
    <t>Program bezpečnost. výzk. ČR: vývoj, testování … SECTECH (2021-2026)</t>
  </si>
  <si>
    <t>Resortní program výzkumu V. (2020-2026)</t>
  </si>
  <si>
    <t>OY</t>
  </si>
  <si>
    <t>SS</t>
  </si>
  <si>
    <t>CK</t>
  </si>
  <si>
    <t>FW</t>
  </si>
  <si>
    <t>MŽP-Prostředí pro život (2020-2026)</t>
  </si>
  <si>
    <t>MD-Doprava 2020+ (2020-2026)</t>
  </si>
  <si>
    <t>MPO-TREND (2020-2027)</t>
  </si>
  <si>
    <r>
      <t xml:space="preserve">            </t>
    </r>
    <r>
      <rPr>
        <sz val="12"/>
        <rFont val="Calibri"/>
        <family val="2"/>
        <charset val="238"/>
      </rPr>
      <t>- bez výdajů krytých příjmy z programů EU a finančních mechanismů</t>
    </r>
  </si>
  <si>
    <t>Programy TA ČR - z toho:</t>
  </si>
  <si>
    <t>Rezortní programy - z toho:</t>
  </si>
  <si>
    <t>Program IMPAKT 1 - Strateg. podpora rozvoje bezpečnost. výzk. (2019-2025)</t>
  </si>
  <si>
    <t>Program aplikovaného výzkumu MZe "Země II" (2024-2032)</t>
  </si>
  <si>
    <t>EPSILON (2015-2026)</t>
  </si>
  <si>
    <t>_Operační program Jan Amos Komenský</t>
  </si>
  <si>
    <t>VB</t>
  </si>
  <si>
    <t>VC</t>
  </si>
  <si>
    <t>GM</t>
  </si>
  <si>
    <t>GN</t>
  </si>
  <si>
    <t>LU</t>
  </si>
  <si>
    <t>DH</t>
  </si>
  <si>
    <r>
      <t>Národní Centra kompetence (2018-2028</t>
    </r>
    <r>
      <rPr>
        <sz val="11"/>
        <rFont val="Calibri"/>
        <family val="2"/>
        <charset val="238"/>
      </rPr>
      <t>)</t>
    </r>
  </si>
  <si>
    <t>Náklady na činnost AV ČR - COMPASS-U</t>
  </si>
  <si>
    <t>Inter-Excellence II (2021-2029)</t>
  </si>
  <si>
    <t>Program bezpečnostního výzkumu pro potřeby státu SecPro (2022-2027)</t>
  </si>
  <si>
    <t>VK</t>
  </si>
  <si>
    <t>Otevřené výzvy v bezpečnostním výzkumu 2023-2029 (OPSEC)</t>
  </si>
  <si>
    <t>BETA3 (2023-2031)</t>
  </si>
  <si>
    <t>THÉTA 2 (2023-2031)</t>
  </si>
  <si>
    <r>
      <rPr>
        <b/>
        <sz val="11"/>
        <color indexed="10"/>
        <rFont val="Calibri"/>
        <family val="2"/>
        <charset val="238"/>
      </rPr>
      <t>INSTITUCIONÁLNÍ PODPORA</t>
    </r>
    <r>
      <rPr>
        <b/>
        <sz val="11"/>
        <color indexed="8"/>
        <rFont val="Calibri"/>
        <family val="2"/>
        <charset val="238"/>
      </rPr>
      <t xml:space="preserve">  //  Název aktivity</t>
    </r>
  </si>
  <si>
    <r>
      <rPr>
        <b/>
        <sz val="11"/>
        <color indexed="10"/>
        <rFont val="Calibri"/>
        <family val="2"/>
        <charset val="238"/>
      </rPr>
      <t xml:space="preserve">ÚČELOVÁ PODPORA </t>
    </r>
    <r>
      <rPr>
        <b/>
        <sz val="11"/>
        <color indexed="8"/>
        <rFont val="Calibri"/>
        <family val="2"/>
        <charset val="238"/>
      </rPr>
      <t xml:space="preserve"> //  Název aktivity</t>
    </r>
  </si>
  <si>
    <t>Institucionální podpora na mezinárodní spolupráci ČR ve VaVaI</t>
  </si>
  <si>
    <t>Rozpočtová kapitola</t>
  </si>
  <si>
    <t>Institucionální celkem</t>
  </si>
  <si>
    <t>Výdaje                 celkem</t>
  </si>
  <si>
    <t>Specifický vysokoškolský výzkum</t>
  </si>
  <si>
    <r>
      <t>Projekty velkých výzkumných infrastruktur</t>
    </r>
    <r>
      <rPr>
        <sz val="11"/>
        <rFont val="Calibri"/>
        <family val="2"/>
        <charset val="238"/>
      </rPr>
      <t xml:space="preserve"> (2011-…)</t>
    </r>
  </si>
  <si>
    <t>MS_Mezinárodní spolupráce ČR ve VaV</t>
  </si>
  <si>
    <t>MS_Mezinárodní spolupráce ČR ve VaV - ELI ERIC</t>
  </si>
  <si>
    <t>Dlouhodobý koncepční rozvoj výzkumné organizace</t>
  </si>
  <si>
    <t>Věcné nebo finanční ocenění mimořádných výsledků VaVaI</t>
  </si>
  <si>
    <t>Náklady na činnost RVVI</t>
  </si>
  <si>
    <t>INSTITUCIONÁLNÍ  PODPORA CELKEM</t>
  </si>
  <si>
    <t>ÚČELOVÁ PODPORA CELKEM</t>
  </si>
  <si>
    <t>INSTITUCIONÁLNÍ + ÚČELOVÁ PODPORA CELKEM</t>
  </si>
  <si>
    <t>Účelová          celkem</t>
  </si>
  <si>
    <t>304-ÚV ČR</t>
  </si>
  <si>
    <t>306-MZV</t>
  </si>
  <si>
    <t>307-MO</t>
  </si>
  <si>
    <t>313-MPSV</t>
  </si>
  <si>
    <t>314-MV</t>
  </si>
  <si>
    <t>315-MŽP</t>
  </si>
  <si>
    <t>321-GA ČR</t>
  </si>
  <si>
    <t>322-MPO</t>
  </si>
  <si>
    <t>327-MD</t>
  </si>
  <si>
    <t>329-MZe</t>
  </si>
  <si>
    <t>333-MŠMT</t>
  </si>
  <si>
    <t>334-MK</t>
  </si>
  <si>
    <t>335-MZd</t>
  </si>
  <si>
    <t>361-AV ČR</t>
  </si>
  <si>
    <t xml:space="preserve">377-TA ČR </t>
  </si>
  <si>
    <t>NW</t>
  </si>
  <si>
    <t>GZ</t>
  </si>
  <si>
    <t>OZ</t>
  </si>
  <si>
    <t>TQ</t>
  </si>
  <si>
    <t>CL</t>
  </si>
  <si>
    <t>QL</t>
  </si>
  <si>
    <t>346-ČÚZK</t>
  </si>
  <si>
    <t>ČÚZK</t>
  </si>
  <si>
    <t>Grantové projekty excelence v základním výzkumu EXPRO (2019-2030)</t>
  </si>
  <si>
    <r>
      <t>ERC CZ (2012-</t>
    </r>
    <r>
      <rPr>
        <sz val="11"/>
        <rFont val="Calibri"/>
        <family val="2"/>
        <charset val="238"/>
      </rPr>
      <t>2032)</t>
    </r>
  </si>
  <si>
    <t>Spolufinancování OP TAK</t>
  </si>
  <si>
    <t>TZ</t>
  </si>
  <si>
    <t>Návratové granty (2025-….)</t>
  </si>
  <si>
    <t>Granty Proof of Concept (2025-….)</t>
  </si>
  <si>
    <t>Technologické výzvy v bezpečnost. výzkumu  2027-2032 (TECHSEC 1)</t>
  </si>
  <si>
    <t>SQ</t>
  </si>
  <si>
    <t>GF</t>
  </si>
  <si>
    <t>Pořádání veřej. soutěží, hodnocení výsledků, VO, apod.</t>
  </si>
  <si>
    <t>MD-Doprava 2030 (2023-2030)</t>
  </si>
  <si>
    <t>Projekty orientovaného základního výzkumu (2023-….)</t>
  </si>
  <si>
    <t>program TWIST (2025-2031)</t>
  </si>
  <si>
    <t>Program IMPAKT 2 - Strateg. podpora bezpečnost. výzkumu ČR (2026-2031)</t>
  </si>
  <si>
    <t>MO-PRODEF (2024-2031)</t>
  </si>
  <si>
    <r>
      <t xml:space="preserve">2025 </t>
    </r>
    <r>
      <rPr>
        <sz val="11"/>
        <color indexed="8"/>
        <rFont val="Calibri"/>
        <family val="2"/>
        <charset val="238"/>
      </rPr>
      <t xml:space="preserve">                    dle zákona                                č. 434/2024</t>
    </r>
  </si>
  <si>
    <t>FY</t>
  </si>
  <si>
    <r>
      <t>SIGMA (2022-2029)</t>
    </r>
    <r>
      <rPr>
        <sz val="11"/>
        <rFont val="Calibri"/>
        <family val="2"/>
        <charset val="238"/>
      </rPr>
      <t>, vč. nového podprogramu v obl. strateg. technologií</t>
    </r>
  </si>
  <si>
    <t>TY</t>
  </si>
  <si>
    <t>Účelová celkem</t>
  </si>
  <si>
    <t>Výdaje celkem</t>
  </si>
  <si>
    <t>nadpožadavky poskytovatele</t>
  </si>
  <si>
    <t>nadpožadavky poskytovatele celkem</t>
  </si>
  <si>
    <r>
      <t>SR 2025</t>
    </r>
    <r>
      <rPr>
        <sz val="14"/>
        <color indexed="8"/>
        <rFont val="Calibri"/>
        <family val="2"/>
        <charset val="238"/>
      </rPr>
      <t xml:space="preserve"> dle zákona č. 434/2024</t>
    </r>
  </si>
  <si>
    <t>Ambice - podpora rozvoje obl., ve kterých ozbrojené složky dosahují význam. výsledků v rámci NATO a EU (2020-2026)</t>
  </si>
  <si>
    <t>Zdokonalení - podpora rozvoje obl. posilujících ozbrojené složky jako obranný pilíř NATO a EU (2025-2031)</t>
  </si>
  <si>
    <t>OX</t>
  </si>
  <si>
    <t>nový Resortní program výzkumu VII. (2028-2034)</t>
  </si>
  <si>
    <t>Program podpory strategických technologií (2026-2032)</t>
  </si>
  <si>
    <t>Projekty sdílených činností (2021-2027)</t>
  </si>
  <si>
    <t>NPO 5.3 - projekt sdílených činností STRATIN+ (2025-…)</t>
  </si>
  <si>
    <t>Inter-Excellence III (2027-2034)</t>
  </si>
  <si>
    <t>Projekty sdílených činností + (2028-2032)</t>
  </si>
  <si>
    <t>MS</t>
  </si>
  <si>
    <t>MŽP-Prostředí pro život 2 (2025-2033)</t>
  </si>
  <si>
    <t>Program bezpečnostního výzkumu pro potřeby státu SecPro 2 (2028-2033)</t>
  </si>
  <si>
    <t>Náklady na činnost AV ČR - Podpora doktorandů</t>
  </si>
  <si>
    <t>návrh úprav RVVI</t>
  </si>
  <si>
    <t>Korekce střednědobého výhledu (potažmo Výchozího návrhu RVVI) u MZd na výdaje ze státní pokladny (k nesprávnému rozpisu navýšení institucionální podpory v roce 2025 došlo technickou</t>
  </si>
  <si>
    <t>chybou na straně MF a MZd, jejich špatnou komunikací, místo navýšení položky Pořádání veřejných soutěží, … o cca 6 mil. Kč byla navýšena položka DK RVO)</t>
  </si>
  <si>
    <t>úpravy nadpožadavků dohodnuté v rámci jednání s poskytovateli v 2/2025</t>
  </si>
  <si>
    <t>RVVI ve svém návrhu výdajů na VaVaI 2025+ schválila navýšení položky Pořádání veřejných soutěží, … tak, jak je nyní uvedeno v opraveném návrhu. Takto bylo schváleno vládou ČR i MF.</t>
  </si>
  <si>
    <t>Rozpis institucionální podpory u MZd na r. 2025 byl ve státní pokladně opraven provedením rozpočtového opatření v 1/2025, což je třeba propsat do SDV, a je tak třeba korekce na staně RVVI</t>
  </si>
  <si>
    <t>Náklady na činnost AV ČR - program Akademie budoucnosti</t>
  </si>
  <si>
    <t>Výchozí návrh RVVI                         Výdaje                 celkem</t>
  </si>
  <si>
    <t>návrh úprav RVVI                 celkem</t>
  </si>
  <si>
    <t>Spolufinancování OP PIK</t>
  </si>
  <si>
    <t>Spolufinancování OP PIK / OP TAK</t>
  </si>
  <si>
    <r>
      <t xml:space="preserve">A   Celkové výdaje státního rozpočtu ČR na výzkum, experimentální vývoj a inovace na rok 2026 a střednědobý výhled na léta 2027 a 2028 </t>
    </r>
    <r>
      <rPr>
        <sz val="14"/>
        <rFont val="Calibri"/>
        <family val="2"/>
        <charset val="238"/>
      </rPr>
      <t>(v Kč)</t>
    </r>
  </si>
  <si>
    <t>B</t>
  </si>
  <si>
    <t>C</t>
  </si>
  <si>
    <t xml:space="preserve"> - bez výdajů krytých příjmy z programů EU a finančních mechanismů</t>
  </si>
  <si>
    <t>Nadpožadavky poskytovatele 2/2025</t>
  </si>
  <si>
    <r>
      <t xml:space="preserve">Resortní program výzkumu VI. (2024-2030), </t>
    </r>
    <r>
      <rPr>
        <sz val="11"/>
        <rFont val="Calibri"/>
        <family val="2"/>
        <charset val="238"/>
      </rPr>
      <t>vč. nového podprogramu č. 4 "Podpora národních autorit v prioritních oblastech zdravot. výzkumu"</t>
    </r>
  </si>
  <si>
    <t>Institucionální podpora ze státního rozpočtu ČR na VaVaI na rok 2026 a střednědobý výhled na léta 2027 a 2028 (v Kč)</t>
  </si>
  <si>
    <t>Účelová podpora ze státního rozpočtu ČR na VaVaI na rok 2026 a střednědobý výhled na léta 2027 a 2028 (v Kč)</t>
  </si>
  <si>
    <t>GAČR (r. 2026) - nově navrhované granty Proof of Concept nestihnou být včas schváleny vládou (doposud nevypořádáno MPŘ), navrhovaných 70 mil. Kč je v r. 2026 přerozděleno (50 mil. Standardní projekty, 5 mil. LA granty, 15 mil. Junior Star)</t>
  </si>
  <si>
    <t>Úpravy návrhu DK RVO u MO a ČÚZK - na základě vypořádání MPŘ</t>
  </si>
  <si>
    <t>MO - nový požadavek na navýšení PRODEF v r. 2027-2028 o 100 mil. Kč ročně vznesen v rámci MPŘ (politické zadání - navýšení výdajů na obranu státu)</t>
  </si>
  <si>
    <t>Původní návrh RVVI - do MPŘ</t>
  </si>
  <si>
    <t>Rozdíl: návrh RVVI vs MPŘ</t>
  </si>
  <si>
    <t xml:space="preserve">      bude MŽP tento přesun alternativně realizovat jako na konci roku 2024, tedy separátním rozpočtovým opatřením (k němu se bude RVVI, stejně jako v listopadu 2024, vyjadřovat)</t>
  </si>
  <si>
    <r>
      <rPr>
        <b/>
        <sz val="11"/>
        <color indexed="8"/>
        <rFont val="Calibri"/>
        <family val="2"/>
        <charset val="238"/>
      </rPr>
      <t>AVČR</t>
    </r>
    <r>
      <rPr>
        <sz val="11"/>
        <color indexed="8"/>
        <rFont val="Calibri"/>
        <family val="2"/>
        <charset val="238"/>
      </rPr>
      <t xml:space="preserve"> - navýšení ročně o 70 mil. Kč celkem (50 mil. náklady na činnost, 20 mil. program Akademie budoucnosti)</t>
    </r>
  </si>
  <si>
    <t>návrh r. 2026 vs r. 2025:</t>
  </si>
  <si>
    <t>návrh r. 2026 vs SDV r. 2026:</t>
  </si>
  <si>
    <t>návrh r. 2027 vs návrh r. 2026:</t>
  </si>
  <si>
    <t>návrh r. 2027 vs SDV r. 2027:</t>
  </si>
  <si>
    <t>návrh r. 2028 vs návrh r. 2027:</t>
  </si>
  <si>
    <r>
      <rPr>
        <b/>
        <sz val="11"/>
        <color indexed="8"/>
        <rFont val="Calibri"/>
        <family val="2"/>
        <charset val="238"/>
      </rPr>
      <t>MŽP</t>
    </r>
    <r>
      <rPr>
        <sz val="11"/>
        <color indexed="8"/>
        <rFont val="Calibri"/>
        <family val="2"/>
        <charset val="238"/>
      </rPr>
      <t xml:space="preserve"> - navýšení DK RVO v letech 2026 a 2027 dle požadavku MŽP (zdůvodněno záměrem navýšení výzkumných výdajů pro ČHMÚ ročně o 30 mil. Kč, mj. v návaznosti na přesun realizovaný na konci r. 2024) na úkor snížení </t>
    </r>
  </si>
  <si>
    <r>
      <t xml:space="preserve">       výdajů v programu PPŽ2 (TAČR) v r. 2027 a 2028 - </t>
    </r>
    <r>
      <rPr>
        <b/>
        <sz val="12"/>
        <color indexed="10"/>
        <rFont val="Calibri"/>
        <family val="2"/>
        <charset val="238"/>
      </rPr>
      <t>bylo předmětem jednání na úrovni ministrů dne 28.5.2025, odsouhlaseno, rozpor vypořádán</t>
    </r>
  </si>
  <si>
    <t xml:space="preserve">.... akceptování požadavku MŽP znamená navýšení výdajů v r. 2026 o 25,7 mil. Kč nad návrh RVVI a v r. 2027 o 9,7 mil. Kč; </t>
  </si>
  <si>
    <t xml:space="preserve">      meziroční nárůst DKRVO v r. 2026 tak je o 21,5 % (o 30 % ve srov. s SDV), v r. 2027 meziročně o 3,0 % (33,9 % ve srov. s SDV)</t>
  </si>
  <si>
    <t xml:space="preserve">.... požadavek v sobě již obsahuje ono navýšení výzkumných výdajů pro ČHMÚ (každoročně o 30 mil. Kč), dá se předpokládat, že pokud by nedošlo k promítnutí požadavku do rozpočtu na VaVaI, </t>
  </si>
  <si>
    <t>Úpravy dohodnuté na online jednání dne 23.5.2025 (upravené dle dohody ministrů MŽP, MPO a VVI):</t>
  </si>
  <si>
    <t>MPO (r. 2027-2028) - v návaznosti na aktualizovaný passport "zazávazkování" programu jsou nadpožadavky k navýšení navrhovanému Radou u programu TREND (TAČR) akceptovány ze strany MPO ve výši 77,6 mil. Kč v r. 2027 a 385,5 mil.Kč v r. 2028</t>
  </si>
  <si>
    <r>
      <t xml:space="preserve">MŽP/TA ČR, program PPŽ 2 - snížení výdajů v r. 2027 (-60 mil. Kč) a r. 2028 (-108,4 mil. Kč) dohodnuto s MŽP v souvislosti s aktualizovaným passportem a požadovaným navýšením DK RVO v letech 2026-2027 dle požadavku MŽP - </t>
    </r>
    <r>
      <rPr>
        <b/>
        <sz val="10"/>
        <color indexed="10"/>
        <rFont val="Arial"/>
        <family val="2"/>
        <charset val="238"/>
      </rPr>
      <t>bylo předmětem jednání ministrů</t>
    </r>
  </si>
  <si>
    <t>Úpravy dohodnuté na online jednání dne 23.5.2025 (upravené dle dohody ministrů MF, MŽP a VVI):</t>
  </si>
  <si>
    <t>NPO 5.3 - program EXCELENCE (2026-2030)</t>
  </si>
  <si>
    <t>rozdíl                           MF vs SDV</t>
  </si>
  <si>
    <t>rozdíl                            MF vs RVVI</t>
  </si>
  <si>
    <t>SDV 2026                         Výdaje                 celkem</t>
  </si>
  <si>
    <t>SDV 2027                         Výdaje                 celkem</t>
  </si>
  <si>
    <r>
      <rPr>
        <b/>
        <sz val="11"/>
        <rFont val="Calibri"/>
        <family val="2"/>
        <charset val="238"/>
      </rPr>
      <t>Výchozí návrh RVVI r. 2028</t>
    </r>
    <r>
      <rPr>
        <sz val="11"/>
        <rFont val="Calibri"/>
        <family val="2"/>
        <charset val="238"/>
      </rPr>
      <t xml:space="preserve"> - návrh výdajů na rok 2028 je totožný s SDV na rok 2027</t>
    </r>
  </si>
  <si>
    <t>SDV 2026</t>
  </si>
  <si>
    <t>SDV 2027</t>
  </si>
  <si>
    <r>
      <t xml:space="preserve">2028 Výchozí </t>
    </r>
    <r>
      <rPr>
        <sz val="11"/>
        <color indexed="8"/>
        <rFont val="Calibri"/>
        <family val="2"/>
        <charset val="238"/>
      </rPr>
      <t>návrh RVVI</t>
    </r>
  </si>
  <si>
    <t>rozdíl MF vs RVVI:</t>
  </si>
  <si>
    <t>r. 2027 rozdíl MF vs SDV:</t>
  </si>
  <si>
    <t>r. 2028 rozdíl MF vs SDV:</t>
  </si>
  <si>
    <t>Finální návrh RVVI                  31.5.</t>
  </si>
  <si>
    <t>RVVI vs SDV:</t>
  </si>
  <si>
    <t>návrh úprav                   RVVI                            vs SDV</t>
  </si>
  <si>
    <r>
      <t>meziroční rozdíl výdaje celkem</t>
    </r>
    <r>
      <rPr>
        <sz val="11"/>
        <rFont val="Calibri"/>
        <family val="2"/>
        <charset val="238"/>
        <scheme val="minor"/>
      </rPr>
      <t xml:space="preserve"> (návrh MF vs r. 2025)</t>
    </r>
    <r>
      <rPr>
        <b/>
        <sz val="11"/>
        <rFont val="Calibri"/>
        <family val="2"/>
        <charset val="238"/>
        <scheme val="minor"/>
      </rPr>
      <t>:</t>
    </r>
  </si>
  <si>
    <r>
      <rPr>
        <b/>
        <sz val="11"/>
        <rFont val="Calibri"/>
        <family val="2"/>
        <charset val="238"/>
      </rPr>
      <t>SR 2025</t>
    </r>
    <r>
      <rPr>
        <sz val="11"/>
        <rFont val="Calibri"/>
        <family val="2"/>
        <charset val="238"/>
      </rPr>
      <t xml:space="preserve"> - výdaje schválené zákonem č. 434 z 20. prosince 2024, o státním rozpočtu ČR na rok 2025</t>
    </r>
  </si>
  <si>
    <r>
      <rPr>
        <b/>
        <sz val="11"/>
        <rFont val="Calibri"/>
        <family val="2"/>
        <charset val="238"/>
      </rPr>
      <t xml:space="preserve">SDV r. 2026-2027 </t>
    </r>
    <r>
      <rPr>
        <sz val="11"/>
        <rFont val="Calibri"/>
        <family val="2"/>
        <charset val="238"/>
      </rPr>
      <t>- výdaje schválené usnesením vlády ze dne 25. září 2024 č. 645 k návrhu zákona o SR ČR na rok 2025 a střednědobého výhledu SR ČR na léta 2026 a 2027</t>
    </r>
  </si>
  <si>
    <r>
      <t xml:space="preserve">2028 Výchozí </t>
    </r>
    <r>
      <rPr>
        <b/>
        <sz val="11"/>
        <color indexed="8"/>
        <rFont val="Calibri"/>
        <family val="2"/>
        <charset val="238"/>
      </rPr>
      <t>návrh RVVI</t>
    </r>
  </si>
  <si>
    <t>Návrh MF celkem                   27.8.</t>
  </si>
  <si>
    <t>r. 2026 rozdíl MF vs SDV:</t>
  </si>
  <si>
    <t>Finální návrh RVVI 31.5.</t>
  </si>
  <si>
    <r>
      <t>Návrh MF
eKLEP 31. 8.</t>
    </r>
    <r>
      <rPr>
        <sz val="11"/>
        <color rgb="FF000000"/>
        <rFont val="Calibri"/>
        <family val="2"/>
        <charset val="238"/>
      </rPr>
      <t xml:space="preserve">  rozepsaný poskytovateli dle IISSP</t>
    </r>
  </si>
  <si>
    <r>
      <t>Návrh MF                  27.8.</t>
    </r>
    <r>
      <rPr>
        <sz val="11"/>
        <color rgb="FF000000"/>
        <rFont val="Calibri"/>
        <family val="2"/>
        <charset val="238"/>
      </rPr>
      <t xml:space="preserve">   rozepsaný poskytovateli dle IISSP</t>
    </r>
  </si>
  <si>
    <t>rozdíl                           MF vs                 Výchozí návrh</t>
  </si>
  <si>
    <t>rozdíl                           MF vs Výchozí návrh</t>
  </si>
  <si>
    <t>rozdíl                           MF vs                  Výchozí návrh</t>
  </si>
  <si>
    <t>meziroční     rozdíl                            MF vs SR 2025</t>
  </si>
  <si>
    <t>MŠMT - v SDV souhlasí celková částka výdajů, ale celková IP a ÚP je odlišná od návrhu MF (část objemu ÚP přesunuto do IP, dle nového zákona  o VaVaI již nebude položka Specifický VŠ výzkum, ale jen DK RVO)</t>
  </si>
  <si>
    <t>TAČR - v SDV provedena korekce, aby celková částka ÚP byla shodná s návrhem MF</t>
  </si>
  <si>
    <t>rozdíl                         MF vs RVVI</t>
  </si>
  <si>
    <t>Pozn.: Návrh MF obsahuje pouze závazné ukazatele IP celkem, ÚP celkem, DK RVO, mezinárodní spolupráce celkem a Specifický VŠ výzkum. Proto byli osloveni poskytovatelé, aby návrh MF rozepsali do položek vykazovaných v návrhu RVVI (viz tabulka)</t>
  </si>
  <si>
    <r>
      <t xml:space="preserve">SDV 2026 </t>
    </r>
    <r>
      <rPr>
        <sz val="11"/>
        <color indexed="8"/>
        <rFont val="Calibri"/>
        <family val="2"/>
        <charset val="238"/>
        <scheme val="minor"/>
      </rPr>
      <t>Institucionální celkem</t>
    </r>
  </si>
  <si>
    <r>
      <t>Finální</t>
    </r>
    <r>
      <rPr>
        <sz val="11"/>
        <color indexed="8"/>
        <rFont val="Calibri"/>
        <family val="2"/>
        <charset val="238"/>
        <scheme val="minor"/>
      </rPr>
      <t xml:space="preserve"> </t>
    </r>
    <r>
      <rPr>
        <b/>
        <sz val="11"/>
        <color indexed="8"/>
        <rFont val="Calibri"/>
        <family val="2"/>
        <charset val="238"/>
        <scheme val="minor"/>
      </rPr>
      <t>návrh RVVI</t>
    </r>
    <r>
      <rPr>
        <sz val="11"/>
        <color indexed="8"/>
        <rFont val="Calibri"/>
        <family val="2"/>
        <charset val="238"/>
        <scheme val="minor"/>
      </rPr>
      <t xml:space="preserve"> </t>
    </r>
    <r>
      <rPr>
        <b/>
        <sz val="11"/>
        <color indexed="10"/>
        <rFont val="Calibri"/>
        <family val="2"/>
        <charset val="238"/>
        <scheme val="minor"/>
      </rPr>
      <t xml:space="preserve">             </t>
    </r>
    <r>
      <rPr>
        <sz val="11"/>
        <color indexed="8"/>
        <rFont val="Calibri"/>
        <family val="2"/>
        <charset val="238"/>
        <scheme val="minor"/>
      </rPr>
      <t>Institucionální celkem</t>
    </r>
  </si>
  <si>
    <r>
      <t xml:space="preserve">Návrh MF
</t>
    </r>
    <r>
      <rPr>
        <sz val="11"/>
        <color rgb="FF000000"/>
        <rFont val="Calibri"/>
        <family val="2"/>
        <charset val="238"/>
        <scheme val="minor"/>
      </rPr>
      <t>institucionální podpora</t>
    </r>
    <r>
      <rPr>
        <b/>
        <sz val="11"/>
        <color indexed="8"/>
        <rFont val="Calibri"/>
        <family val="2"/>
        <charset val="238"/>
        <scheme val="minor"/>
      </rPr>
      <t xml:space="preserve">
eKLEP 31.8.</t>
    </r>
  </si>
  <si>
    <r>
      <t xml:space="preserve">SDV 2026               </t>
    </r>
    <r>
      <rPr>
        <sz val="11"/>
        <color indexed="8"/>
        <rFont val="Calibri"/>
        <family val="2"/>
        <charset val="238"/>
        <scheme val="minor"/>
      </rPr>
      <t>Účelová          celkem</t>
    </r>
  </si>
  <si>
    <r>
      <t>Finální</t>
    </r>
    <r>
      <rPr>
        <sz val="11"/>
        <color indexed="8"/>
        <rFont val="Calibri"/>
        <family val="2"/>
        <charset val="238"/>
        <scheme val="minor"/>
      </rPr>
      <t xml:space="preserve"> </t>
    </r>
    <r>
      <rPr>
        <b/>
        <sz val="11"/>
        <color indexed="8"/>
        <rFont val="Calibri"/>
        <family val="2"/>
        <charset val="238"/>
        <scheme val="minor"/>
      </rPr>
      <t xml:space="preserve">návrh RVVI         </t>
    </r>
    <r>
      <rPr>
        <sz val="11"/>
        <color indexed="8"/>
        <rFont val="Calibri"/>
        <family val="2"/>
        <charset val="238"/>
        <scheme val="minor"/>
      </rPr>
      <t xml:space="preserve"> Účelová                   celkem</t>
    </r>
  </si>
  <si>
    <r>
      <t xml:space="preserve">Návrh MF
</t>
    </r>
    <r>
      <rPr>
        <sz val="11"/>
        <color rgb="FF000000"/>
        <rFont val="Calibri"/>
        <family val="2"/>
        <charset val="238"/>
        <scheme val="minor"/>
      </rPr>
      <t>účelová podpora</t>
    </r>
    <r>
      <rPr>
        <b/>
        <sz val="11"/>
        <color indexed="8"/>
        <rFont val="Calibri"/>
        <family val="2"/>
        <charset val="238"/>
        <scheme val="minor"/>
      </rPr>
      <t xml:space="preserve">
eKLEP 31.8.</t>
    </r>
  </si>
  <si>
    <r>
      <t xml:space="preserve">Návrh MF 
</t>
    </r>
    <r>
      <rPr>
        <b/>
        <sz val="11"/>
        <color rgb="FF000000"/>
        <rFont val="Calibri"/>
        <family val="2"/>
        <charset val="238"/>
        <scheme val="minor"/>
      </rPr>
      <t>celkem</t>
    </r>
    <r>
      <rPr>
        <b/>
        <sz val="11"/>
        <color indexed="8"/>
        <rFont val="Calibri"/>
        <family val="2"/>
        <charset val="238"/>
        <scheme val="minor"/>
      </rPr>
      <t xml:space="preserve">
eKLEP 31.8.</t>
    </r>
  </si>
  <si>
    <r>
      <t xml:space="preserve">SDV 2027 </t>
    </r>
    <r>
      <rPr>
        <sz val="11"/>
        <color indexed="8"/>
        <rFont val="Calibri"/>
        <family val="2"/>
        <charset val="238"/>
        <scheme val="minor"/>
      </rPr>
      <t>Institucionální celkem</t>
    </r>
  </si>
  <si>
    <r>
      <t>Finální</t>
    </r>
    <r>
      <rPr>
        <sz val="11"/>
        <color indexed="8"/>
        <rFont val="Calibri"/>
        <family val="2"/>
        <charset val="238"/>
        <scheme val="minor"/>
      </rPr>
      <t xml:space="preserve"> </t>
    </r>
    <r>
      <rPr>
        <b/>
        <sz val="11"/>
        <color indexed="8"/>
        <rFont val="Calibri"/>
        <family val="2"/>
        <charset val="238"/>
        <scheme val="minor"/>
      </rPr>
      <t>návrh RVVI</t>
    </r>
    <r>
      <rPr>
        <sz val="11"/>
        <color indexed="8"/>
        <rFont val="Calibri"/>
        <family val="2"/>
        <charset val="238"/>
        <scheme val="minor"/>
      </rPr>
      <t xml:space="preserve"> Institucionální celkem</t>
    </r>
  </si>
  <si>
    <r>
      <t xml:space="preserve">Návrh MF (27.8.)  </t>
    </r>
    <r>
      <rPr>
        <sz val="11"/>
        <color rgb="FF000000"/>
        <rFont val="Calibri"/>
        <family val="2"/>
        <charset val="238"/>
        <scheme val="minor"/>
      </rPr>
      <t>Institucionální celkem</t>
    </r>
  </si>
  <si>
    <r>
      <t xml:space="preserve">SDV 2027               </t>
    </r>
    <r>
      <rPr>
        <sz val="11"/>
        <color indexed="8"/>
        <rFont val="Calibri"/>
        <family val="2"/>
        <charset val="238"/>
        <scheme val="minor"/>
      </rPr>
      <t>Účelová          celkem</t>
    </r>
  </si>
  <si>
    <r>
      <t>Finální</t>
    </r>
    <r>
      <rPr>
        <sz val="11"/>
        <color indexed="8"/>
        <rFont val="Calibri"/>
        <family val="2"/>
        <charset val="238"/>
        <scheme val="minor"/>
      </rPr>
      <t xml:space="preserve"> </t>
    </r>
    <r>
      <rPr>
        <b/>
        <sz val="11"/>
        <color indexed="8"/>
        <rFont val="Calibri"/>
        <family val="2"/>
        <charset val="238"/>
        <scheme val="minor"/>
      </rPr>
      <t xml:space="preserve">návrh RVVI                 </t>
    </r>
    <r>
      <rPr>
        <sz val="11"/>
        <color indexed="8"/>
        <rFont val="Calibri"/>
        <family val="2"/>
        <charset val="238"/>
        <scheme val="minor"/>
      </rPr>
      <t xml:space="preserve"> Účelová                   celkem</t>
    </r>
  </si>
  <si>
    <r>
      <t>Návrh MF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b/>
        <sz val="11"/>
        <color rgb="FF000000"/>
        <rFont val="Calibri"/>
        <family val="2"/>
        <charset val="238"/>
        <scheme val="minor"/>
      </rPr>
      <t xml:space="preserve">(27.8.) </t>
    </r>
    <r>
      <rPr>
        <sz val="11"/>
        <color rgb="FF000000"/>
        <rFont val="Calibri"/>
        <family val="2"/>
        <charset val="238"/>
        <scheme val="minor"/>
      </rPr>
      <t xml:space="preserve">   Účelová                  celkem</t>
    </r>
  </si>
  <si>
    <r>
      <t xml:space="preserve">Výchozí návrh RVVI </t>
    </r>
    <r>
      <rPr>
        <sz val="11"/>
        <color indexed="8"/>
        <rFont val="Calibri"/>
        <family val="2"/>
        <charset val="238"/>
        <scheme val="minor"/>
      </rPr>
      <t>Institucionální celkem</t>
    </r>
  </si>
  <si>
    <r>
      <t xml:space="preserve">Výchozí návrh RVVI                    </t>
    </r>
    <r>
      <rPr>
        <sz val="11"/>
        <color indexed="8"/>
        <rFont val="Calibri"/>
        <family val="2"/>
        <charset val="238"/>
        <scheme val="minor"/>
      </rPr>
      <t>Účelová          celkem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</si>
</sst>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_ ;\-#,##0\ "/>
  </numFmts>
  <fonts count="5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  <charset val="238"/>
    </font>
    <font>
      <sz val="14"/>
      <name val="Calibri"/>
      <family val="2"/>
      <charset val="238"/>
    </font>
    <font>
      <sz val="12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10"/>
      <name val="Arial"/>
      <family val="2"/>
      <charset val="238"/>
    </font>
    <font>
      <b/>
      <sz val="12"/>
      <color indexed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EE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0070C0"/>
      <name val="Calibri"/>
      <family val="2"/>
      <charset val="238"/>
    </font>
    <font>
      <b/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70C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EDF979"/>
        <bgColor indexed="64"/>
      </patternFill>
    </fill>
    <fill>
      <patternFill patternType="solid">
        <fgColor rgb="FFEDF97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206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3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3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4"/>
      </right>
      <top style="thin">
        <color indexed="63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2" fillId="0" borderId="0"/>
  </cellStyleXfs>
  <cellXfs count="636">
    <xf numFmtId="0" fontId="0" fillId="0" borderId="0" xfId="0"/>
    <xf numFmtId="0" fontId="15" fillId="0" borderId="0" xfId="4"/>
    <xf numFmtId="0" fontId="19" fillId="0" borderId="1" xfId="2" applyFont="1" applyBorder="1"/>
    <xf numFmtId="0" fontId="19" fillId="0" borderId="2" xfId="2" applyFont="1" applyBorder="1"/>
    <xf numFmtId="0" fontId="19" fillId="0" borderId="3" xfId="2" applyFont="1" applyBorder="1"/>
    <xf numFmtId="0" fontId="20" fillId="0" borderId="4" xfId="2" applyFont="1" applyBorder="1"/>
    <xf numFmtId="0" fontId="19" fillId="0" borderId="5" xfId="2" applyFont="1" applyBorder="1"/>
    <xf numFmtId="0" fontId="20" fillId="0" borderId="6" xfId="2" applyFont="1" applyBorder="1"/>
    <xf numFmtId="0" fontId="19" fillId="0" borderId="7" xfId="2" applyFont="1" applyBorder="1"/>
    <xf numFmtId="0" fontId="19" fillId="0" borderId="8" xfId="2" applyFont="1" applyBorder="1"/>
    <xf numFmtId="0" fontId="20" fillId="0" borderId="9" xfId="2" applyFont="1" applyBorder="1"/>
    <xf numFmtId="0" fontId="19" fillId="0" borderId="10" xfId="2" applyFont="1" applyBorder="1"/>
    <xf numFmtId="0" fontId="19" fillId="0" borderId="11" xfId="2" applyFont="1" applyBorder="1"/>
    <xf numFmtId="0" fontId="20" fillId="0" borderId="12" xfId="2" applyFont="1" applyBorder="1"/>
    <xf numFmtId="0" fontId="19" fillId="0" borderId="0" xfId="2" applyFont="1"/>
    <xf numFmtId="0" fontId="19" fillId="0" borderId="1" xfId="2" applyFont="1" applyBorder="1" applyAlignment="1">
      <alignment horizontal="left"/>
    </xf>
    <xf numFmtId="0" fontId="19" fillId="0" borderId="5" xfId="2" applyFont="1" applyBorder="1" applyAlignment="1">
      <alignment horizontal="left"/>
    </xf>
    <xf numFmtId="0" fontId="19" fillId="0" borderId="13" xfId="2" applyFont="1" applyBorder="1"/>
    <xf numFmtId="0" fontId="19" fillId="0" borderId="14" xfId="2" applyFont="1" applyBorder="1"/>
    <xf numFmtId="0" fontId="21" fillId="2" borderId="15" xfId="2" applyFont="1" applyFill="1" applyBorder="1"/>
    <xf numFmtId="0" fontId="21" fillId="2" borderId="16" xfId="2" applyFont="1" applyFill="1" applyBorder="1"/>
    <xf numFmtId="0" fontId="21" fillId="2" borderId="16" xfId="2" applyFont="1" applyFill="1" applyBorder="1" applyAlignment="1">
      <alignment wrapText="1"/>
    </xf>
    <xf numFmtId="0" fontId="20" fillId="0" borderId="1" xfId="2" applyFont="1" applyBorder="1" applyAlignment="1">
      <alignment vertical="center"/>
    </xf>
    <xf numFmtId="0" fontId="20" fillId="0" borderId="17" xfId="2" applyFont="1" applyBorder="1" applyAlignment="1">
      <alignment horizontal="center"/>
    </xf>
    <xf numFmtId="0" fontId="20" fillId="0" borderId="6" xfId="2" applyFont="1" applyBorder="1" applyAlignment="1">
      <alignment wrapText="1"/>
    </xf>
    <xf numFmtId="0" fontId="19" fillId="0" borderId="6" xfId="2" applyFont="1" applyBorder="1" applyAlignment="1">
      <alignment wrapText="1"/>
    </xf>
    <xf numFmtId="0" fontId="20" fillId="0" borderId="2" xfId="2" applyFont="1" applyBorder="1" applyAlignment="1">
      <alignment vertical="center"/>
    </xf>
    <xf numFmtId="0" fontId="20" fillId="0" borderId="18" xfId="2" applyFont="1" applyBorder="1" applyAlignment="1">
      <alignment horizontal="center" vertical="center"/>
    </xf>
    <xf numFmtId="0" fontId="20" fillId="0" borderId="1" xfId="2" applyFont="1" applyBorder="1"/>
    <xf numFmtId="0" fontId="20" fillId="0" borderId="2" xfId="2" applyFont="1" applyBorder="1"/>
    <xf numFmtId="0" fontId="20" fillId="0" borderId="18" xfId="2" applyFont="1" applyBorder="1" applyAlignment="1">
      <alignment horizontal="center"/>
    </xf>
    <xf numFmtId="0" fontId="20" fillId="0" borderId="4" xfId="2" applyFont="1" applyBorder="1" applyAlignment="1">
      <alignment wrapText="1"/>
    </xf>
    <xf numFmtId="0" fontId="20" fillId="0" borderId="19" xfId="2" applyFont="1" applyBorder="1"/>
    <xf numFmtId="0" fontId="20" fillId="0" borderId="20" xfId="2" applyFont="1" applyBorder="1" applyAlignment="1">
      <alignment horizontal="center"/>
    </xf>
    <xf numFmtId="0" fontId="22" fillId="2" borderId="15" xfId="2" applyFont="1" applyFill="1" applyBorder="1"/>
    <xf numFmtId="0" fontId="22" fillId="2" borderId="16" xfId="2" applyFont="1" applyFill="1" applyBorder="1" applyAlignment="1">
      <alignment horizontal="center" wrapText="1"/>
    </xf>
    <xf numFmtId="0" fontId="20" fillId="0" borderId="19" xfId="2" applyFont="1" applyBorder="1" applyAlignment="1">
      <alignment vertical="center"/>
    </xf>
    <xf numFmtId="0" fontId="19" fillId="0" borderId="21" xfId="2" applyFont="1" applyBorder="1" applyAlignment="1">
      <alignment wrapText="1"/>
    </xf>
    <xf numFmtId="0" fontId="23" fillId="0" borderId="0" xfId="4" applyFont="1"/>
    <xf numFmtId="0" fontId="21" fillId="0" borderId="0" xfId="2" applyFont="1"/>
    <xf numFmtId="0" fontId="21" fillId="0" borderId="0" xfId="2" applyFont="1" applyAlignment="1">
      <alignment wrapText="1"/>
    </xf>
    <xf numFmtId="0" fontId="24" fillId="0" borderId="0" xfId="2" applyFont="1"/>
    <xf numFmtId="0" fontId="19" fillId="0" borderId="22" xfId="2" applyFont="1" applyBorder="1"/>
    <xf numFmtId="0" fontId="20" fillId="0" borderId="4" xfId="2" applyFont="1" applyBorder="1" applyAlignment="1">
      <alignment horizontal="left" vertical="center" wrapText="1"/>
    </xf>
    <xf numFmtId="0" fontId="21" fillId="3" borderId="15" xfId="2" applyFont="1" applyFill="1" applyBorder="1"/>
    <xf numFmtId="0" fontId="21" fillId="3" borderId="16" xfId="2" applyFont="1" applyFill="1" applyBorder="1"/>
    <xf numFmtId="0" fontId="21" fillId="3" borderId="16" xfId="2" applyFont="1" applyFill="1" applyBorder="1" applyAlignment="1">
      <alignment wrapText="1"/>
    </xf>
    <xf numFmtId="3" fontId="21" fillId="3" borderId="24" xfId="2" applyNumberFormat="1" applyFont="1" applyFill="1" applyBorder="1" applyAlignment="1">
      <alignment wrapText="1"/>
    </xf>
    <xf numFmtId="0" fontId="21" fillId="4" borderId="25" xfId="2" applyFont="1" applyFill="1" applyBorder="1"/>
    <xf numFmtId="0" fontId="21" fillId="4" borderId="26" xfId="2" applyFont="1" applyFill="1" applyBorder="1"/>
    <xf numFmtId="0" fontId="21" fillId="4" borderId="26" xfId="2" applyFont="1" applyFill="1" applyBorder="1" applyAlignment="1">
      <alignment wrapText="1"/>
    </xf>
    <xf numFmtId="3" fontId="22" fillId="4" borderId="27" xfId="2" applyNumberFormat="1" applyFont="1" applyFill="1" applyBorder="1" applyAlignment="1">
      <alignment horizontal="right" wrapText="1"/>
    </xf>
    <xf numFmtId="3" fontId="22" fillId="3" borderId="24" xfId="2" applyNumberFormat="1" applyFont="1" applyFill="1" applyBorder="1" applyAlignment="1">
      <alignment horizontal="right" wrapText="1"/>
    </xf>
    <xf numFmtId="3" fontId="21" fillId="3" borderId="24" xfId="2" applyNumberFormat="1" applyFont="1" applyFill="1" applyBorder="1" applyAlignment="1">
      <alignment horizontal="right" wrapText="1"/>
    </xf>
    <xf numFmtId="0" fontId="21" fillId="3" borderId="28" xfId="2" applyFont="1" applyFill="1" applyBorder="1"/>
    <xf numFmtId="0" fontId="21" fillId="3" borderId="29" xfId="2" applyFont="1" applyFill="1" applyBorder="1"/>
    <xf numFmtId="0" fontId="21" fillId="3" borderId="29" xfId="2" applyFont="1" applyFill="1" applyBorder="1" applyAlignment="1">
      <alignment wrapText="1"/>
    </xf>
    <xf numFmtId="0" fontId="22" fillId="3" borderId="15" xfId="2" applyFont="1" applyFill="1" applyBorder="1" applyAlignment="1">
      <alignment horizontal="left"/>
    </xf>
    <xf numFmtId="0" fontId="22" fillId="3" borderId="16" xfId="2" applyFont="1" applyFill="1" applyBorder="1" applyAlignment="1">
      <alignment horizontal="center" wrapText="1"/>
    </xf>
    <xf numFmtId="0" fontId="22" fillId="3" borderId="16" xfId="2" applyFont="1" applyFill="1" applyBorder="1" applyAlignment="1">
      <alignment wrapText="1"/>
    </xf>
    <xf numFmtId="3" fontId="22" fillId="3" borderId="24" xfId="2" applyNumberFormat="1" applyFont="1" applyFill="1" applyBorder="1" applyAlignment="1">
      <alignment horizontal="right"/>
    </xf>
    <xf numFmtId="0" fontId="22" fillId="4" borderId="15" xfId="2" applyFont="1" applyFill="1" applyBorder="1"/>
    <xf numFmtId="0" fontId="22" fillId="4" borderId="16" xfId="2" applyFont="1" applyFill="1" applyBorder="1" applyAlignment="1">
      <alignment horizontal="center" wrapText="1"/>
    </xf>
    <xf numFmtId="0" fontId="22" fillId="4" borderId="16" xfId="2" applyFont="1" applyFill="1" applyBorder="1" applyAlignment="1">
      <alignment wrapText="1"/>
    </xf>
    <xf numFmtId="3" fontId="22" fillId="4" borderId="24" xfId="2" applyNumberFormat="1" applyFont="1" applyFill="1" applyBorder="1" applyAlignment="1">
      <alignment horizontal="right"/>
    </xf>
    <xf numFmtId="0" fontId="22" fillId="3" borderId="15" xfId="2" applyFont="1" applyFill="1" applyBorder="1"/>
    <xf numFmtId="0" fontId="19" fillId="0" borderId="31" xfId="2" applyFont="1" applyBorder="1" applyAlignment="1">
      <alignment horizontal="center" vertical="center" wrapText="1"/>
    </xf>
    <xf numFmtId="0" fontId="20" fillId="0" borderId="32" xfId="2" applyFont="1" applyBorder="1"/>
    <xf numFmtId="0" fontId="20" fillId="0" borderId="33" xfId="2" applyFont="1" applyBorder="1" applyAlignment="1">
      <alignment horizontal="center" wrapText="1"/>
    </xf>
    <xf numFmtId="0" fontId="20" fillId="0" borderId="0" xfId="2" applyFont="1" applyAlignment="1">
      <alignment wrapText="1"/>
    </xf>
    <xf numFmtId="0" fontId="20" fillId="0" borderId="34" xfId="2" applyFont="1" applyBorder="1"/>
    <xf numFmtId="0" fontId="20" fillId="0" borderId="31" xfId="2" applyFont="1" applyBorder="1" applyAlignment="1">
      <alignment horizontal="center" wrapText="1"/>
    </xf>
    <xf numFmtId="0" fontId="20" fillId="0" borderId="16" xfId="2" applyFont="1" applyBorder="1" applyAlignment="1">
      <alignment wrapText="1"/>
    </xf>
    <xf numFmtId="0" fontId="20" fillId="0" borderId="34" xfId="2" applyFont="1" applyBorder="1" applyAlignment="1">
      <alignment horizontal="left"/>
    </xf>
    <xf numFmtId="0" fontId="19" fillId="0" borderId="34" xfId="2" applyFont="1" applyBorder="1" applyAlignment="1">
      <alignment horizontal="left" vertical="center" wrapText="1"/>
    </xf>
    <xf numFmtId="0" fontId="19" fillId="0" borderId="35" xfId="2" applyFont="1" applyBorder="1"/>
    <xf numFmtId="0" fontId="20" fillId="0" borderId="6" xfId="2" applyFont="1" applyBorder="1" applyAlignment="1">
      <alignment vertical="center"/>
    </xf>
    <xf numFmtId="0" fontId="20" fillId="0" borderId="13" xfId="2" applyFont="1" applyBorder="1" applyAlignment="1">
      <alignment vertical="center"/>
    </xf>
    <xf numFmtId="0" fontId="20" fillId="0" borderId="35" xfId="2" applyFont="1" applyBorder="1" applyAlignment="1">
      <alignment horizontal="center" vertical="center"/>
    </xf>
    <xf numFmtId="0" fontId="20" fillId="0" borderId="17" xfId="2" applyFont="1" applyBorder="1" applyAlignment="1">
      <alignment horizontal="center" vertical="center"/>
    </xf>
    <xf numFmtId="0" fontId="20" fillId="0" borderId="36" xfId="2" applyFont="1" applyBorder="1" applyAlignment="1">
      <alignment horizontal="center" wrapText="1"/>
    </xf>
    <xf numFmtId="0" fontId="23" fillId="0" borderId="0" xfId="4" applyFont="1" applyAlignment="1">
      <alignment horizontal="center"/>
    </xf>
    <xf numFmtId="3" fontId="21" fillId="0" borderId="0" xfId="2" applyNumberFormat="1" applyFont="1" applyAlignment="1">
      <alignment wrapText="1"/>
    </xf>
    <xf numFmtId="0" fontId="19" fillId="0" borderId="0" xfId="2" applyFont="1" applyAlignment="1">
      <alignment wrapText="1"/>
    </xf>
    <xf numFmtId="0" fontId="18" fillId="0" borderId="16" xfId="2" applyFont="1" applyBorder="1" applyAlignment="1">
      <alignment wrapText="1"/>
    </xf>
    <xf numFmtId="0" fontId="20" fillId="0" borderId="22" xfId="2" applyFont="1" applyBorder="1" applyAlignment="1">
      <alignment horizontal="center"/>
    </xf>
    <xf numFmtId="0" fontId="18" fillId="0" borderId="37" xfId="2" applyFont="1" applyBorder="1" applyAlignment="1">
      <alignment wrapText="1"/>
    </xf>
    <xf numFmtId="0" fontId="19" fillId="0" borderId="17" xfId="2" applyFont="1" applyBorder="1" applyAlignment="1">
      <alignment horizontal="center"/>
    </xf>
    <xf numFmtId="0" fontId="22" fillId="0" borderId="0" xfId="2" applyFont="1"/>
    <xf numFmtId="0" fontId="22" fillId="0" borderId="0" xfId="2" applyFont="1" applyAlignment="1">
      <alignment horizontal="center" wrapText="1"/>
    </xf>
    <xf numFmtId="0" fontId="22" fillId="0" borderId="0" xfId="2" applyFont="1" applyAlignment="1">
      <alignment wrapText="1"/>
    </xf>
    <xf numFmtId="3" fontId="22" fillId="0" borderId="0" xfId="2" applyNumberFormat="1" applyFont="1" applyAlignment="1">
      <alignment horizontal="right"/>
    </xf>
    <xf numFmtId="3" fontId="19" fillId="0" borderId="0" xfId="2" applyNumberFormat="1" applyFont="1" applyAlignment="1">
      <alignment horizontal="right" wrapText="1"/>
    </xf>
    <xf numFmtId="0" fontId="19" fillId="0" borderId="1" xfId="2" applyFont="1" applyBorder="1" applyAlignment="1">
      <alignment vertical="center"/>
    </xf>
    <xf numFmtId="0" fontId="19" fillId="0" borderId="17" xfId="2" applyFont="1" applyBorder="1"/>
    <xf numFmtId="0" fontId="20" fillId="0" borderId="38" xfId="2" applyFont="1" applyBorder="1"/>
    <xf numFmtId="0" fontId="20" fillId="0" borderId="39" xfId="2" applyFont="1" applyBorder="1"/>
    <xf numFmtId="0" fontId="16" fillId="0" borderId="0" xfId="4" applyFont="1"/>
    <xf numFmtId="3" fontId="16" fillId="0" borderId="0" xfId="4" applyNumberFormat="1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0" fillId="0" borderId="0" xfId="0" applyFont="1"/>
    <xf numFmtId="0" fontId="21" fillId="0" borderId="0" xfId="0" applyFont="1" applyAlignment="1">
      <alignment vertical="center"/>
    </xf>
    <xf numFmtId="3" fontId="22" fillId="0" borderId="0" xfId="0" applyNumberFormat="1" applyFont="1" applyAlignment="1">
      <alignment horizontal="right" vertical="center"/>
    </xf>
    <xf numFmtId="3" fontId="19" fillId="0" borderId="40" xfId="0" applyNumberFormat="1" applyFont="1" applyBorder="1" applyAlignment="1">
      <alignment horizontal="right"/>
    </xf>
    <xf numFmtId="3" fontId="19" fillId="0" borderId="5" xfId="0" applyNumberFormat="1" applyFont="1" applyBorder="1" applyAlignment="1">
      <alignment horizontal="right"/>
    </xf>
    <xf numFmtId="0" fontId="21" fillId="5" borderId="34" xfId="2" applyFont="1" applyFill="1" applyBorder="1" applyAlignment="1">
      <alignment horizontal="center" vertical="center" wrapText="1"/>
    </xf>
    <xf numFmtId="0" fontId="21" fillId="5" borderId="16" xfId="2" applyFont="1" applyFill="1" applyBorder="1" applyAlignment="1">
      <alignment horizontal="center" vertical="center" wrapText="1"/>
    </xf>
    <xf numFmtId="0" fontId="21" fillId="5" borderId="41" xfId="2" applyFont="1" applyFill="1" applyBorder="1" applyAlignment="1">
      <alignment horizontal="center" vertical="center" wrapText="1"/>
    </xf>
    <xf numFmtId="0" fontId="21" fillId="5" borderId="42" xfId="2" applyFont="1" applyFill="1" applyBorder="1" applyAlignment="1">
      <alignment horizontal="center" vertical="center" wrapText="1"/>
    </xf>
    <xf numFmtId="0" fontId="19" fillId="0" borderId="39" xfId="2" applyFont="1" applyBorder="1" applyAlignment="1">
      <alignment vertical="center"/>
    </xf>
    <xf numFmtId="0" fontId="19" fillId="0" borderId="43" xfId="2" applyFont="1" applyBorder="1"/>
    <xf numFmtId="0" fontId="20" fillId="0" borderId="5" xfId="2" applyFont="1" applyBorder="1" applyAlignment="1">
      <alignment wrapText="1"/>
    </xf>
    <xf numFmtId="0" fontId="19" fillId="0" borderId="44" xfId="2" applyFont="1" applyBorder="1"/>
    <xf numFmtId="0" fontId="19" fillId="0" borderId="45" xfId="2" applyFont="1" applyBorder="1"/>
    <xf numFmtId="49" fontId="19" fillId="0" borderId="29" xfId="2" applyNumberFormat="1" applyFont="1" applyBorder="1" applyAlignment="1">
      <alignment horizontal="left" vertical="center" wrapText="1"/>
    </xf>
    <xf numFmtId="0" fontId="21" fillId="6" borderId="46" xfId="0" applyFont="1" applyFill="1" applyBorder="1" applyAlignment="1">
      <alignment horizontal="left" indent="1"/>
    </xf>
    <xf numFmtId="0" fontId="21" fillId="6" borderId="47" xfId="2" applyFont="1" applyFill="1" applyBorder="1" applyAlignment="1">
      <alignment horizontal="left" indent="1"/>
    </xf>
    <xf numFmtId="0" fontId="21" fillId="6" borderId="47" xfId="0" applyFont="1" applyFill="1" applyBorder="1" applyAlignment="1">
      <alignment horizontal="left" indent="1"/>
    </xf>
    <xf numFmtId="0" fontId="21" fillId="6" borderId="23" xfId="0" applyFont="1" applyFill="1" applyBorder="1" applyAlignment="1">
      <alignment horizontal="left" indent="1"/>
    </xf>
    <xf numFmtId="0" fontId="23" fillId="0" borderId="0" xfId="4" applyFont="1" applyAlignment="1">
      <alignment horizontal="left"/>
    </xf>
    <xf numFmtId="3" fontId="19" fillId="0" borderId="6" xfId="0" applyNumberFormat="1" applyFont="1" applyBorder="1" applyAlignment="1">
      <alignment horizontal="right"/>
    </xf>
    <xf numFmtId="3" fontId="19" fillId="0" borderId="14" xfId="0" applyNumberFormat="1" applyFont="1" applyBorder="1" applyAlignment="1">
      <alignment horizontal="right"/>
    </xf>
    <xf numFmtId="0" fontId="20" fillId="0" borderId="48" xfId="2" applyFont="1" applyBorder="1" applyAlignment="1">
      <alignment wrapText="1"/>
    </xf>
    <xf numFmtId="0" fontId="20" fillId="0" borderId="0" xfId="0" applyFont="1" applyAlignment="1">
      <alignment horizontal="right"/>
    </xf>
    <xf numFmtId="3" fontId="20" fillId="0" borderId="49" xfId="2" applyNumberFormat="1" applyFont="1" applyBorder="1" applyAlignment="1">
      <alignment horizontal="right"/>
    </xf>
    <xf numFmtId="0" fontId="20" fillId="0" borderId="13" xfId="2" applyFont="1" applyBorder="1"/>
    <xf numFmtId="0" fontId="20" fillId="0" borderId="35" xfId="2" applyFont="1" applyBorder="1" applyAlignment="1">
      <alignment horizontal="center"/>
    </xf>
    <xf numFmtId="0" fontId="20" fillId="0" borderId="14" xfId="2" applyFont="1" applyBorder="1" applyAlignment="1">
      <alignment wrapText="1"/>
    </xf>
    <xf numFmtId="3" fontId="16" fillId="7" borderId="47" xfId="4" applyNumberFormat="1" applyFont="1" applyFill="1" applyBorder="1"/>
    <xf numFmtId="3" fontId="22" fillId="7" borderId="30" xfId="2" applyNumberFormat="1" applyFont="1" applyFill="1" applyBorder="1" applyAlignment="1">
      <alignment horizontal="right"/>
    </xf>
    <xf numFmtId="0" fontId="19" fillId="0" borderId="38" xfId="2" applyFont="1" applyBorder="1"/>
    <xf numFmtId="0" fontId="4" fillId="0" borderId="0" xfId="0" applyFont="1"/>
    <xf numFmtId="0" fontId="20" fillId="0" borderId="0" xfId="2" applyFont="1"/>
    <xf numFmtId="3" fontId="20" fillId="0" borderId="6" xfId="0" applyNumberFormat="1" applyFont="1" applyBorder="1" applyAlignment="1">
      <alignment horizontal="right"/>
    </xf>
    <xf numFmtId="3" fontId="20" fillId="0" borderId="5" xfId="0" applyNumberFormat="1" applyFont="1" applyBorder="1" applyAlignment="1">
      <alignment horizontal="right"/>
    </xf>
    <xf numFmtId="0" fontId="6" fillId="5" borderId="50" xfId="2" applyFont="1" applyFill="1" applyBorder="1" applyAlignment="1">
      <alignment horizontal="center" vertical="center" wrapText="1"/>
    </xf>
    <xf numFmtId="0" fontId="6" fillId="5" borderId="51" xfId="2" applyFont="1" applyFill="1" applyBorder="1" applyAlignment="1">
      <alignment horizontal="center" vertical="center" wrapText="1"/>
    </xf>
    <xf numFmtId="0" fontId="20" fillId="0" borderId="0" xfId="4" applyFont="1"/>
    <xf numFmtId="0" fontId="20" fillId="0" borderId="39" xfId="2" applyFont="1" applyBorder="1" applyAlignment="1">
      <alignment vertical="center"/>
    </xf>
    <xf numFmtId="0" fontId="21" fillId="5" borderId="52" xfId="0" applyFont="1" applyFill="1" applyBorder="1" applyAlignment="1">
      <alignment horizontal="center" vertical="center" wrapText="1"/>
    </xf>
    <xf numFmtId="0" fontId="20" fillId="0" borderId="53" xfId="4" applyFont="1" applyBorder="1"/>
    <xf numFmtId="0" fontId="20" fillId="0" borderId="54" xfId="4" applyFont="1" applyBorder="1"/>
    <xf numFmtId="0" fontId="19" fillId="0" borderId="20" xfId="2" applyFont="1" applyBorder="1"/>
    <xf numFmtId="0" fontId="20" fillId="0" borderId="0" xfId="2" applyFont="1" applyAlignment="1">
      <alignment horizontal="right"/>
    </xf>
    <xf numFmtId="0" fontId="20" fillId="0" borderId="0" xfId="4" applyFont="1" applyAlignment="1">
      <alignment horizontal="right"/>
    </xf>
    <xf numFmtId="0" fontId="20" fillId="0" borderId="38" xfId="2" applyFont="1" applyBorder="1" applyAlignment="1">
      <alignment vertical="center"/>
    </xf>
    <xf numFmtId="0" fontId="20" fillId="0" borderId="55" xfId="2" applyFont="1" applyBorder="1" applyAlignment="1">
      <alignment vertical="center"/>
    </xf>
    <xf numFmtId="0" fontId="20" fillId="0" borderId="56" xfId="2" applyFont="1" applyBorder="1" applyAlignment="1">
      <alignment horizontal="center" vertical="center"/>
    </xf>
    <xf numFmtId="0" fontId="19" fillId="0" borderId="2" xfId="2" applyFont="1" applyBorder="1" applyAlignment="1">
      <alignment horizontal="left"/>
    </xf>
    <xf numFmtId="0" fontId="19" fillId="0" borderId="3" xfId="2" applyFont="1" applyBorder="1" applyAlignment="1">
      <alignment horizontal="left"/>
    </xf>
    <xf numFmtId="0" fontId="22" fillId="6" borderId="23" xfId="0" applyFont="1" applyFill="1" applyBorder="1" applyAlignment="1">
      <alignment horizontal="left" indent="1"/>
    </xf>
    <xf numFmtId="0" fontId="20" fillId="0" borderId="35" xfId="2" applyFont="1" applyBorder="1"/>
    <xf numFmtId="0" fontId="20" fillId="0" borderId="3" xfId="2" applyFont="1" applyBorder="1"/>
    <xf numFmtId="0" fontId="16" fillId="8" borderId="15" xfId="4" applyFont="1" applyFill="1" applyBorder="1"/>
    <xf numFmtId="0" fontId="16" fillId="8" borderId="16" xfId="4" applyFont="1" applyFill="1" applyBorder="1"/>
    <xf numFmtId="0" fontId="21" fillId="8" borderId="24" xfId="0" applyFont="1" applyFill="1" applyBorder="1" applyAlignment="1">
      <alignment vertical="center"/>
    </xf>
    <xf numFmtId="0" fontId="20" fillId="0" borderId="57" xfId="2" applyFont="1" applyBorder="1"/>
    <xf numFmtId="0" fontId="20" fillId="0" borderId="58" xfId="2" applyFont="1" applyBorder="1"/>
    <xf numFmtId="0" fontId="20" fillId="0" borderId="59" xfId="2" applyFont="1" applyBorder="1"/>
    <xf numFmtId="0" fontId="19" fillId="0" borderId="6" xfId="2" applyFont="1" applyBorder="1"/>
    <xf numFmtId="0" fontId="20" fillId="0" borderId="5" xfId="2" applyFont="1" applyBorder="1"/>
    <xf numFmtId="0" fontId="20" fillId="0" borderId="40" xfId="2" applyFont="1" applyBorder="1" applyAlignment="1">
      <alignment wrapText="1"/>
    </xf>
    <xf numFmtId="0" fontId="20" fillId="0" borderId="14" xfId="2" applyFont="1" applyBorder="1" applyAlignment="1">
      <alignment vertical="center" wrapText="1"/>
    </xf>
    <xf numFmtId="0" fontId="20" fillId="0" borderId="6" xfId="2" applyFont="1" applyBorder="1" applyAlignment="1">
      <alignment vertical="center" wrapText="1"/>
    </xf>
    <xf numFmtId="0" fontId="20" fillId="0" borderId="3" xfId="2" applyFont="1" applyBorder="1" applyAlignment="1">
      <alignment vertical="center" wrapText="1"/>
    </xf>
    <xf numFmtId="0" fontId="20" fillId="0" borderId="60" xfId="4" applyFont="1" applyBorder="1"/>
    <xf numFmtId="0" fontId="20" fillId="0" borderId="21" xfId="2" applyFont="1" applyBorder="1" applyAlignment="1">
      <alignment wrapText="1"/>
    </xf>
    <xf numFmtId="0" fontId="22" fillId="2" borderId="16" xfId="2" applyFont="1" applyFill="1" applyBorder="1" applyAlignment="1">
      <alignment wrapText="1"/>
    </xf>
    <xf numFmtId="0" fontId="20" fillId="0" borderId="33" xfId="2" applyFont="1" applyBorder="1" applyAlignment="1">
      <alignment horizontal="center"/>
    </xf>
    <xf numFmtId="3" fontId="22" fillId="8" borderId="16" xfId="0" applyNumberFormat="1" applyFont="1" applyFill="1" applyBorder="1" applyAlignment="1">
      <alignment horizontal="right" vertical="center"/>
    </xf>
    <xf numFmtId="0" fontId="21" fillId="5" borderId="50" xfId="0" applyFont="1" applyFill="1" applyBorder="1" applyAlignment="1">
      <alignment horizontal="center" vertical="center" wrapText="1"/>
    </xf>
    <xf numFmtId="0" fontId="28" fillId="0" borderId="0" xfId="0" applyFont="1"/>
    <xf numFmtId="3" fontId="22" fillId="8" borderId="50" xfId="0" applyNumberFormat="1" applyFont="1" applyFill="1" applyBorder="1" applyAlignment="1">
      <alignment horizontal="right" vertical="center"/>
    </xf>
    <xf numFmtId="0" fontId="20" fillId="0" borderId="0" xfId="2" applyFont="1" applyAlignment="1">
      <alignment vertical="center" wrapText="1"/>
    </xf>
    <xf numFmtId="0" fontId="20" fillId="0" borderId="5" xfId="2" applyFont="1" applyBorder="1" applyAlignment="1">
      <alignment vertical="center" wrapText="1"/>
    </xf>
    <xf numFmtId="0" fontId="19" fillId="0" borderId="61" xfId="2" applyFont="1" applyBorder="1"/>
    <xf numFmtId="0" fontId="20" fillId="0" borderId="20" xfId="2" applyFont="1" applyBorder="1"/>
    <xf numFmtId="3" fontId="21" fillId="3" borderId="15" xfId="2" applyNumberFormat="1" applyFont="1" applyFill="1" applyBorder="1" applyAlignment="1">
      <alignment wrapText="1"/>
    </xf>
    <xf numFmtId="0" fontId="20" fillId="0" borderId="5" xfId="5" applyFont="1" applyBorder="1" applyAlignment="1">
      <alignment wrapText="1"/>
    </xf>
    <xf numFmtId="0" fontId="20" fillId="0" borderId="39" xfId="5" applyFont="1" applyBorder="1" applyAlignment="1">
      <alignment vertical="center"/>
    </xf>
    <xf numFmtId="0" fontId="20" fillId="0" borderId="20" xfId="2" applyFont="1" applyBorder="1" applyAlignment="1">
      <alignment horizontal="center" vertical="center"/>
    </xf>
    <xf numFmtId="0" fontId="8" fillId="0" borderId="0" xfId="0" applyFont="1"/>
    <xf numFmtId="3" fontId="20" fillId="0" borderId="0" xfId="0" applyNumberFormat="1" applyFont="1"/>
    <xf numFmtId="0" fontId="25" fillId="0" borderId="0" xfId="0" applyFont="1" applyAlignment="1">
      <alignment horizontal="center"/>
    </xf>
    <xf numFmtId="3" fontId="20" fillId="0" borderId="0" xfId="4" applyNumberFormat="1" applyFont="1"/>
    <xf numFmtId="3" fontId="20" fillId="0" borderId="47" xfId="0" applyNumberFormat="1" applyFont="1" applyBorder="1" applyAlignment="1">
      <alignment horizontal="right"/>
    </xf>
    <xf numFmtId="3" fontId="16" fillId="3" borderId="15" xfId="4" applyNumberFormat="1" applyFont="1" applyFill="1" applyBorder="1"/>
    <xf numFmtId="3" fontId="22" fillId="4" borderId="25" xfId="2" applyNumberFormat="1" applyFont="1" applyFill="1" applyBorder="1" applyAlignment="1">
      <alignment horizontal="right" wrapText="1"/>
    </xf>
    <xf numFmtId="3" fontId="22" fillId="3" borderId="15" xfId="2" applyNumberFormat="1" applyFont="1" applyFill="1" applyBorder="1" applyAlignment="1">
      <alignment horizontal="right" wrapText="1"/>
    </xf>
    <xf numFmtId="3" fontId="21" fillId="3" borderId="15" xfId="2" applyNumberFormat="1" applyFont="1" applyFill="1" applyBorder="1" applyAlignment="1">
      <alignment horizontal="right" wrapText="1"/>
    </xf>
    <xf numFmtId="3" fontId="21" fillId="3" borderId="28" xfId="2" applyNumberFormat="1" applyFont="1" applyFill="1" applyBorder="1" applyAlignment="1">
      <alignment wrapText="1"/>
    </xf>
    <xf numFmtId="0" fontId="21" fillId="6" borderId="15" xfId="0" applyFont="1" applyFill="1" applyBorder="1" applyAlignment="1">
      <alignment horizontal="center" vertical="center" wrapText="1"/>
    </xf>
    <xf numFmtId="3" fontId="21" fillId="7" borderId="28" xfId="0" applyNumberFormat="1" applyFont="1" applyFill="1" applyBorder="1" applyAlignment="1">
      <alignment horizontal="right"/>
    </xf>
    <xf numFmtId="3" fontId="21" fillId="7" borderId="39" xfId="0" applyNumberFormat="1" applyFont="1" applyFill="1" applyBorder="1" applyAlignment="1">
      <alignment horizontal="right"/>
    </xf>
    <xf numFmtId="3" fontId="22" fillId="7" borderId="39" xfId="0" applyNumberFormat="1" applyFont="1" applyFill="1" applyBorder="1" applyAlignment="1">
      <alignment horizontal="right"/>
    </xf>
    <xf numFmtId="3" fontId="22" fillId="6" borderId="15" xfId="0" applyNumberFormat="1" applyFont="1" applyFill="1" applyBorder="1" applyAlignment="1">
      <alignment horizontal="right" vertical="center"/>
    </xf>
    <xf numFmtId="0" fontId="21" fillId="10" borderId="16" xfId="0" applyFont="1" applyFill="1" applyBorder="1" applyAlignment="1">
      <alignment horizontal="center" vertical="center" wrapText="1"/>
    </xf>
    <xf numFmtId="0" fontId="21" fillId="11" borderId="15" xfId="0" applyFont="1" applyFill="1" applyBorder="1" applyAlignment="1">
      <alignment horizontal="center" vertical="center" wrapText="1"/>
    </xf>
    <xf numFmtId="3" fontId="21" fillId="12" borderId="28" xfId="0" applyNumberFormat="1" applyFont="1" applyFill="1" applyBorder="1" applyAlignment="1">
      <alignment horizontal="right"/>
    </xf>
    <xf numFmtId="3" fontId="21" fillId="12" borderId="39" xfId="0" applyNumberFormat="1" applyFont="1" applyFill="1" applyBorder="1" applyAlignment="1">
      <alignment horizontal="right"/>
    </xf>
    <xf numFmtId="3" fontId="22" fillId="12" borderId="39" xfId="0" applyNumberFormat="1" applyFont="1" applyFill="1" applyBorder="1" applyAlignment="1">
      <alignment horizontal="right"/>
    </xf>
    <xf numFmtId="3" fontId="22" fillId="11" borderId="15" xfId="0" applyNumberFormat="1" applyFont="1" applyFill="1" applyBorder="1" applyAlignment="1">
      <alignment horizontal="right" vertical="center"/>
    </xf>
    <xf numFmtId="0" fontId="20" fillId="13" borderId="30" xfId="0" applyFont="1" applyFill="1" applyBorder="1" applyAlignment="1">
      <alignment horizontal="right"/>
    </xf>
    <xf numFmtId="0" fontId="30" fillId="13" borderId="24" xfId="0" applyFont="1" applyFill="1" applyBorder="1" applyAlignment="1">
      <alignment horizontal="center" vertical="center" wrapText="1"/>
    </xf>
    <xf numFmtId="0" fontId="21" fillId="13" borderId="24" xfId="0" applyFont="1" applyFill="1" applyBorder="1" applyAlignment="1">
      <alignment horizontal="center" vertical="center" wrapText="1"/>
    </xf>
    <xf numFmtId="3" fontId="21" fillId="13" borderId="30" xfId="0" applyNumberFormat="1" applyFont="1" applyFill="1" applyBorder="1" applyAlignment="1">
      <alignment horizontal="right"/>
    </xf>
    <xf numFmtId="3" fontId="21" fillId="13" borderId="47" xfId="0" applyNumberFormat="1" applyFont="1" applyFill="1" applyBorder="1" applyAlignment="1">
      <alignment horizontal="right"/>
    </xf>
    <xf numFmtId="3" fontId="22" fillId="13" borderId="47" xfId="0" applyNumberFormat="1" applyFont="1" applyFill="1" applyBorder="1" applyAlignment="1">
      <alignment horizontal="right"/>
    </xf>
    <xf numFmtId="3" fontId="22" fillId="13" borderId="24" xfId="0" applyNumberFormat="1" applyFont="1" applyFill="1" applyBorder="1" applyAlignment="1">
      <alignment horizontal="right" vertical="center"/>
    </xf>
    <xf numFmtId="3" fontId="22" fillId="13" borderId="67" xfId="0" applyNumberFormat="1" applyFont="1" applyFill="1" applyBorder="1" applyAlignment="1">
      <alignment horizontal="right" vertical="center"/>
    </xf>
    <xf numFmtId="0" fontId="24" fillId="13" borderId="24" xfId="0" applyFont="1" applyFill="1" applyBorder="1" applyAlignment="1">
      <alignment horizontal="center" vertical="center" wrapText="1"/>
    </xf>
    <xf numFmtId="0" fontId="20" fillId="0" borderId="17" xfId="5" applyFont="1" applyBorder="1" applyAlignment="1">
      <alignment horizontal="center"/>
    </xf>
    <xf numFmtId="0" fontId="31" fillId="10" borderId="50" xfId="0" applyFont="1" applyFill="1" applyBorder="1" applyAlignment="1">
      <alignment horizontal="center" vertical="center" wrapText="1"/>
    </xf>
    <xf numFmtId="0" fontId="20" fillId="0" borderId="69" xfId="2" applyFont="1" applyBorder="1" applyAlignment="1">
      <alignment horizontal="center" vertical="center"/>
    </xf>
    <xf numFmtId="9" fontId="15" fillId="0" borderId="0" xfId="7" applyFont="1"/>
    <xf numFmtId="9" fontId="20" fillId="0" borderId="0" xfId="7" applyFont="1" applyAlignment="1">
      <alignment horizontal="right"/>
    </xf>
    <xf numFmtId="0" fontId="20" fillId="0" borderId="33" xfId="2" applyFont="1" applyBorder="1" applyAlignment="1">
      <alignment horizontal="center" vertical="center"/>
    </xf>
    <xf numFmtId="0" fontId="20" fillId="0" borderId="69" xfId="2" applyFont="1" applyBorder="1" applyAlignment="1">
      <alignment horizontal="center"/>
    </xf>
    <xf numFmtId="3" fontId="22" fillId="4" borderId="26" xfId="2" applyNumberFormat="1" applyFont="1" applyFill="1" applyBorder="1" applyAlignment="1">
      <alignment horizontal="right" wrapText="1"/>
    </xf>
    <xf numFmtId="3" fontId="22" fillId="3" borderId="16" xfId="2" applyNumberFormat="1" applyFont="1" applyFill="1" applyBorder="1" applyAlignment="1">
      <alignment horizontal="right" wrapText="1"/>
    </xf>
    <xf numFmtId="3" fontId="21" fillId="3" borderId="16" xfId="2" applyNumberFormat="1" applyFont="1" applyFill="1" applyBorder="1" applyAlignment="1">
      <alignment horizontal="right" wrapText="1"/>
    </xf>
    <xf numFmtId="0" fontId="0" fillId="14" borderId="0" xfId="0" applyFill="1"/>
    <xf numFmtId="3" fontId="21" fillId="11" borderId="15" xfId="2" applyNumberFormat="1" applyFont="1" applyFill="1" applyBorder="1" applyAlignment="1">
      <alignment wrapText="1"/>
    </xf>
    <xf numFmtId="0" fontId="16" fillId="11" borderId="15" xfId="4" applyFont="1" applyFill="1" applyBorder="1" applyAlignment="1">
      <alignment horizontal="center" vertical="center" wrapText="1"/>
    </xf>
    <xf numFmtId="0" fontId="16" fillId="6" borderId="70" xfId="4" applyFont="1" applyFill="1" applyBorder="1" applyAlignment="1">
      <alignment horizontal="center" vertical="center" wrapText="1"/>
    </xf>
    <xf numFmtId="0" fontId="20" fillId="13" borderId="30" xfId="4" applyFont="1" applyFill="1" applyBorder="1" applyAlignment="1">
      <alignment horizontal="right"/>
    </xf>
    <xf numFmtId="0" fontId="16" fillId="13" borderId="24" xfId="4" applyFont="1" applyFill="1" applyBorder="1" applyAlignment="1">
      <alignment horizontal="center" vertical="center" wrapText="1"/>
    </xf>
    <xf numFmtId="3" fontId="15" fillId="13" borderId="46" xfId="4" applyNumberFormat="1" applyFill="1" applyBorder="1"/>
    <xf numFmtId="3" fontId="15" fillId="13" borderId="23" xfId="4" applyNumberFormat="1" applyFill="1" applyBorder="1"/>
    <xf numFmtId="3" fontId="21" fillId="13" borderId="24" xfId="2" applyNumberFormat="1" applyFont="1" applyFill="1" applyBorder="1" applyAlignment="1">
      <alignment wrapText="1"/>
    </xf>
    <xf numFmtId="3" fontId="16" fillId="13" borderId="24" xfId="4" applyNumberFormat="1" applyFont="1" applyFill="1" applyBorder="1"/>
    <xf numFmtId="3" fontId="20" fillId="13" borderId="49" xfId="4" applyNumberFormat="1" applyFont="1" applyFill="1" applyBorder="1"/>
    <xf numFmtId="3" fontId="22" fillId="15" borderId="27" xfId="2" applyNumberFormat="1" applyFont="1" applyFill="1" applyBorder="1" applyAlignment="1">
      <alignment horizontal="right" wrapText="1"/>
    </xf>
    <xf numFmtId="3" fontId="15" fillId="13" borderId="47" xfId="4" applyNumberFormat="1" applyFill="1" applyBorder="1"/>
    <xf numFmtId="3" fontId="22" fillId="13" borderId="24" xfId="2" applyNumberFormat="1" applyFont="1" applyFill="1" applyBorder="1" applyAlignment="1">
      <alignment horizontal="right" wrapText="1"/>
    </xf>
    <xf numFmtId="3" fontId="20" fillId="13" borderId="47" xfId="0" applyNumberFormat="1" applyFont="1" applyFill="1" applyBorder="1"/>
    <xf numFmtId="3" fontId="21" fillId="13" borderId="24" xfId="2" applyNumberFormat="1" applyFont="1" applyFill="1" applyBorder="1" applyAlignment="1">
      <alignment horizontal="right" wrapText="1"/>
    </xf>
    <xf numFmtId="3" fontId="20" fillId="13" borderId="23" xfId="4" applyNumberFormat="1" applyFont="1" applyFill="1" applyBorder="1"/>
    <xf numFmtId="3" fontId="20" fillId="13" borderId="47" xfId="0" applyNumberFormat="1" applyFont="1" applyFill="1" applyBorder="1" applyAlignment="1">
      <alignment horizontal="right"/>
    </xf>
    <xf numFmtId="3" fontId="21" fillId="13" borderId="30" xfId="2" applyNumberFormat="1" applyFont="1" applyFill="1" applyBorder="1" applyAlignment="1">
      <alignment wrapText="1"/>
    </xf>
    <xf numFmtId="3" fontId="21" fillId="13" borderId="67" xfId="2" applyNumberFormat="1" applyFont="1" applyFill="1" applyBorder="1" applyAlignment="1">
      <alignment wrapText="1"/>
    </xf>
    <xf numFmtId="3" fontId="15" fillId="13" borderId="23" xfId="7" applyNumberFormat="1" applyFont="1" applyFill="1" applyBorder="1"/>
    <xf numFmtId="3" fontId="15" fillId="13" borderId="66" xfId="4" applyNumberFormat="1" applyFill="1" applyBorder="1"/>
    <xf numFmtId="3" fontId="20" fillId="13" borderId="23" xfId="7" applyNumberFormat="1" applyFont="1" applyFill="1" applyBorder="1"/>
    <xf numFmtId="3" fontId="20" fillId="13" borderId="47" xfId="4" applyNumberFormat="1" applyFont="1" applyFill="1" applyBorder="1"/>
    <xf numFmtId="3" fontId="15" fillId="13" borderId="64" xfId="4" applyNumberFormat="1" applyFill="1" applyBorder="1"/>
    <xf numFmtId="3" fontId="16" fillId="11" borderId="15" xfId="4" applyNumberFormat="1" applyFont="1" applyFill="1" applyBorder="1"/>
    <xf numFmtId="3" fontId="22" fillId="3" borderId="70" xfId="2" applyNumberFormat="1" applyFont="1" applyFill="1" applyBorder="1" applyAlignment="1">
      <alignment horizontal="right"/>
    </xf>
    <xf numFmtId="3" fontId="20" fillId="0" borderId="63" xfId="2" applyNumberFormat="1" applyFont="1" applyBorder="1" applyAlignment="1">
      <alignment horizontal="right"/>
    </xf>
    <xf numFmtId="3" fontId="22" fillId="4" borderId="70" xfId="2" applyNumberFormat="1" applyFont="1" applyFill="1" applyBorder="1" applyAlignment="1">
      <alignment horizontal="right"/>
    </xf>
    <xf numFmtId="3" fontId="22" fillId="7" borderId="72" xfId="2" applyNumberFormat="1" applyFont="1" applyFill="1" applyBorder="1" applyAlignment="1">
      <alignment horizontal="right"/>
    </xf>
    <xf numFmtId="3" fontId="22" fillId="6" borderId="70" xfId="2" applyNumberFormat="1" applyFont="1" applyFill="1" applyBorder="1" applyAlignment="1">
      <alignment horizontal="right"/>
    </xf>
    <xf numFmtId="3" fontId="15" fillId="13" borderId="30" xfId="4" applyNumberFormat="1" applyFill="1" applyBorder="1" applyAlignment="1">
      <alignment horizontal="right" vertical="center" wrapText="1"/>
    </xf>
    <xf numFmtId="3" fontId="22" fillId="13" borderId="24" xfId="2" applyNumberFormat="1" applyFont="1" applyFill="1" applyBorder="1" applyAlignment="1">
      <alignment horizontal="right"/>
    </xf>
    <xf numFmtId="3" fontId="20" fillId="13" borderId="49" xfId="2" applyNumberFormat="1" applyFont="1" applyFill="1" applyBorder="1" applyAlignment="1">
      <alignment horizontal="right"/>
    </xf>
    <xf numFmtId="3" fontId="20" fillId="13" borderId="46" xfId="4" applyNumberFormat="1" applyFont="1" applyFill="1" applyBorder="1" applyAlignment="1">
      <alignment vertical="center"/>
    </xf>
    <xf numFmtId="3" fontId="20" fillId="13" borderId="64" xfId="4" applyNumberFormat="1" applyFont="1" applyFill="1" applyBorder="1" applyAlignment="1">
      <alignment vertical="center"/>
    </xf>
    <xf numFmtId="3" fontId="22" fillId="15" borderId="24" xfId="2" applyNumberFormat="1" applyFont="1" applyFill="1" applyBorder="1" applyAlignment="1">
      <alignment horizontal="right"/>
    </xf>
    <xf numFmtId="3" fontId="20" fillId="13" borderId="47" xfId="4" applyNumberFormat="1" applyFont="1" applyFill="1" applyBorder="1" applyAlignment="1">
      <alignment vertical="center"/>
    </xf>
    <xf numFmtId="3" fontId="20" fillId="13" borderId="23" xfId="4" applyNumberFormat="1" applyFont="1" applyFill="1" applyBorder="1" applyAlignment="1">
      <alignment vertical="center"/>
    </xf>
    <xf numFmtId="3" fontId="20" fillId="13" borderId="66" xfId="4" applyNumberFormat="1" applyFont="1" applyFill="1" applyBorder="1" applyAlignment="1">
      <alignment vertical="center"/>
    </xf>
    <xf numFmtId="3" fontId="20" fillId="13" borderId="46" xfId="0" applyNumberFormat="1" applyFont="1" applyFill="1" applyBorder="1"/>
    <xf numFmtId="3" fontId="20" fillId="13" borderId="64" xfId="0" applyNumberFormat="1" applyFont="1" applyFill="1" applyBorder="1"/>
    <xf numFmtId="3" fontId="20" fillId="13" borderId="24" xfId="4" applyNumberFormat="1" applyFont="1" applyFill="1" applyBorder="1" applyAlignment="1">
      <alignment vertical="center"/>
    </xf>
    <xf numFmtId="3" fontId="20" fillId="13" borderId="47" xfId="0" applyNumberFormat="1" applyFont="1" applyFill="1" applyBorder="1" applyAlignment="1">
      <alignment vertical="center"/>
    </xf>
    <xf numFmtId="3" fontId="20" fillId="13" borderId="67" xfId="0" applyNumberFormat="1" applyFont="1" applyFill="1" applyBorder="1" applyAlignment="1">
      <alignment vertical="center"/>
    </xf>
    <xf numFmtId="3" fontId="22" fillId="13" borderId="30" xfId="2" applyNumberFormat="1" applyFont="1" applyFill="1" applyBorder="1" applyAlignment="1">
      <alignment horizontal="right"/>
    </xf>
    <xf numFmtId="165" fontId="29" fillId="13" borderId="47" xfId="1" applyNumberFormat="1" applyFont="1" applyFill="1" applyBorder="1" applyAlignment="1">
      <alignment horizontal="right" wrapText="1"/>
    </xf>
    <xf numFmtId="165" fontId="29" fillId="13" borderId="47" xfId="1" applyNumberFormat="1" applyFont="1" applyFill="1" applyBorder="1" applyAlignment="1">
      <alignment horizontal="right" vertical="center" wrapText="1"/>
    </xf>
    <xf numFmtId="165" fontId="29" fillId="13" borderId="49" xfId="1" applyNumberFormat="1" applyFont="1" applyFill="1" applyBorder="1" applyAlignment="1">
      <alignment horizontal="right" wrapText="1"/>
    </xf>
    <xf numFmtId="3" fontId="16" fillId="13" borderId="47" xfId="4" applyNumberFormat="1" applyFont="1" applyFill="1" applyBorder="1"/>
    <xf numFmtId="165" fontId="29" fillId="13" borderId="67" xfId="1" applyNumberFormat="1" applyFont="1" applyFill="1" applyBorder="1" applyAlignment="1">
      <alignment horizontal="right" wrapText="1"/>
    </xf>
    <xf numFmtId="3" fontId="22" fillId="13" borderId="49" xfId="2" applyNumberFormat="1" applyFont="1" applyFill="1" applyBorder="1" applyAlignment="1">
      <alignment horizontal="right"/>
    </xf>
    <xf numFmtId="3" fontId="16" fillId="13" borderId="67" xfId="4" applyNumberFormat="1" applyFont="1" applyFill="1" applyBorder="1"/>
    <xf numFmtId="3" fontId="20" fillId="0" borderId="38" xfId="2" applyNumberFormat="1" applyFont="1" applyBorder="1" applyAlignment="1">
      <alignment horizontal="right"/>
    </xf>
    <xf numFmtId="3" fontId="18" fillId="13" borderId="23" xfId="4" applyNumberFormat="1" applyFont="1" applyFill="1" applyBorder="1" applyAlignment="1">
      <alignment vertical="center"/>
    </xf>
    <xf numFmtId="3" fontId="29" fillId="13" borderId="47" xfId="1" applyNumberFormat="1" applyFont="1" applyFill="1" applyBorder="1" applyAlignment="1">
      <alignment horizontal="right" wrapText="1"/>
    </xf>
    <xf numFmtId="3" fontId="29" fillId="13" borderId="47" xfId="1" applyNumberFormat="1" applyFont="1" applyFill="1" applyBorder="1" applyAlignment="1">
      <alignment horizontal="right" vertical="center" wrapText="1"/>
    </xf>
    <xf numFmtId="166" fontId="29" fillId="13" borderId="47" xfId="1" applyNumberFormat="1" applyFont="1" applyFill="1" applyBorder="1" applyAlignment="1">
      <alignment horizontal="right" wrapText="1"/>
    </xf>
    <xf numFmtId="166" fontId="29" fillId="13" borderId="67" xfId="1" applyNumberFormat="1" applyFont="1" applyFill="1" applyBorder="1" applyAlignment="1">
      <alignment horizontal="right" wrapText="1"/>
    </xf>
    <xf numFmtId="3" fontId="20" fillId="13" borderId="23" xfId="0" applyNumberFormat="1" applyFont="1" applyFill="1" applyBorder="1"/>
    <xf numFmtId="3" fontId="20" fillId="13" borderId="49" xfId="4" applyNumberFormat="1" applyFont="1" applyFill="1" applyBorder="1" applyAlignment="1">
      <alignment vertical="center"/>
    </xf>
    <xf numFmtId="3" fontId="18" fillId="13" borderId="47" xfId="0" applyNumberFormat="1" applyFont="1" applyFill="1" applyBorder="1"/>
    <xf numFmtId="3" fontId="22" fillId="17" borderId="70" xfId="2" applyNumberFormat="1" applyFont="1" applyFill="1" applyBorder="1" applyAlignment="1">
      <alignment horizontal="right"/>
    </xf>
    <xf numFmtId="3" fontId="22" fillId="10" borderId="70" xfId="2" applyNumberFormat="1" applyFont="1" applyFill="1" applyBorder="1" applyAlignment="1">
      <alignment horizontal="right"/>
    </xf>
    <xf numFmtId="3" fontId="22" fillId="16" borderId="70" xfId="2" applyNumberFormat="1" applyFont="1" applyFill="1" applyBorder="1" applyAlignment="1">
      <alignment horizontal="right"/>
    </xf>
    <xf numFmtId="3" fontId="22" fillId="10" borderId="50" xfId="0" applyNumberFormat="1" applyFont="1" applyFill="1" applyBorder="1" applyAlignment="1">
      <alignment horizontal="right" vertical="center"/>
    </xf>
    <xf numFmtId="0" fontId="21" fillId="10" borderId="50" xfId="0" applyFont="1" applyFill="1" applyBorder="1" applyAlignment="1">
      <alignment horizontal="center" vertical="center" wrapText="1"/>
    </xf>
    <xf numFmtId="3" fontId="31" fillId="18" borderId="51" xfId="0" applyNumberFormat="1" applyFont="1" applyFill="1" applyBorder="1" applyAlignment="1">
      <alignment horizontal="right"/>
    </xf>
    <xf numFmtId="3" fontId="31" fillId="18" borderId="6" xfId="0" applyNumberFormat="1" applyFont="1" applyFill="1" applyBorder="1" applyAlignment="1">
      <alignment horizontal="right"/>
    </xf>
    <xf numFmtId="3" fontId="31" fillId="10" borderId="50" xfId="0" applyNumberFormat="1" applyFont="1" applyFill="1" applyBorder="1" applyAlignment="1">
      <alignment horizontal="right" vertical="center"/>
    </xf>
    <xf numFmtId="3" fontId="22" fillId="16" borderId="50" xfId="0" applyNumberFormat="1" applyFont="1" applyFill="1" applyBorder="1" applyAlignment="1">
      <alignment horizontal="right" vertical="center"/>
    </xf>
    <xf numFmtId="3" fontId="19" fillId="0" borderId="69" xfId="0" applyNumberFormat="1" applyFont="1" applyBorder="1" applyAlignment="1">
      <alignment horizontal="right"/>
    </xf>
    <xf numFmtId="0" fontId="15" fillId="19" borderId="0" xfId="4" applyFill="1"/>
    <xf numFmtId="3" fontId="20" fillId="0" borderId="0" xfId="2" applyNumberFormat="1" applyFont="1" applyAlignment="1">
      <alignment horizontal="right"/>
    </xf>
    <xf numFmtId="3" fontId="20" fillId="14" borderId="47" xfId="0" applyNumberFormat="1" applyFont="1" applyFill="1" applyBorder="1" applyAlignment="1">
      <alignment horizontal="right"/>
    </xf>
    <xf numFmtId="0" fontId="20" fillId="14" borderId="0" xfId="0" applyFont="1" applyFill="1"/>
    <xf numFmtId="3" fontId="20" fillId="12" borderId="39" xfId="0" applyNumberFormat="1" applyFont="1" applyFill="1" applyBorder="1" applyAlignment="1">
      <alignment horizontal="right"/>
    </xf>
    <xf numFmtId="3" fontId="20" fillId="12" borderId="39" xfId="0" applyNumberFormat="1" applyFont="1" applyFill="1" applyBorder="1"/>
    <xf numFmtId="0" fontId="3" fillId="16" borderId="24" xfId="4" applyFont="1" applyFill="1" applyBorder="1" applyAlignment="1">
      <alignment horizontal="center" vertical="center" wrapText="1"/>
    </xf>
    <xf numFmtId="0" fontId="6" fillId="17" borderId="15" xfId="4" applyFont="1" applyFill="1" applyBorder="1" applyAlignment="1">
      <alignment horizontal="center" vertical="center" wrapText="1"/>
    </xf>
    <xf numFmtId="3" fontId="20" fillId="14" borderId="51" xfId="0" applyNumberFormat="1" applyFont="1" applyFill="1" applyBorder="1" applyAlignment="1">
      <alignment horizontal="right"/>
    </xf>
    <xf numFmtId="3" fontId="20" fillId="14" borderId="6" xfId="0" applyNumberFormat="1" applyFont="1" applyFill="1" applyBorder="1" applyAlignment="1">
      <alignment horizontal="right"/>
    </xf>
    <xf numFmtId="0" fontId="6" fillId="17" borderId="24" xfId="4" applyFont="1" applyFill="1" applyBorder="1" applyAlignment="1">
      <alignment horizontal="center" vertical="center" wrapText="1"/>
    </xf>
    <xf numFmtId="3" fontId="22" fillId="17" borderId="24" xfId="0" applyNumberFormat="1" applyFont="1" applyFill="1" applyBorder="1" applyAlignment="1">
      <alignment horizontal="right" vertical="center"/>
    </xf>
    <xf numFmtId="0" fontId="20" fillId="0" borderId="69" xfId="2" applyFont="1" applyBorder="1" applyAlignment="1">
      <alignment wrapText="1"/>
    </xf>
    <xf numFmtId="0" fontId="19" fillId="0" borderId="57" xfId="2" applyFont="1" applyBorder="1"/>
    <xf numFmtId="3" fontId="20" fillId="13" borderId="67" xfId="4" applyNumberFormat="1" applyFont="1" applyFill="1" applyBorder="1" applyAlignment="1">
      <alignment vertical="center"/>
    </xf>
    <xf numFmtId="3" fontId="15" fillId="12" borderId="59" xfId="4" applyNumberFormat="1" applyFill="1" applyBorder="1"/>
    <xf numFmtId="3" fontId="15" fillId="12" borderId="57" xfId="4" applyNumberFormat="1" applyFill="1" applyBorder="1"/>
    <xf numFmtId="3" fontId="20" fillId="12" borderId="38" xfId="4" applyNumberFormat="1" applyFont="1" applyFill="1" applyBorder="1"/>
    <xf numFmtId="3" fontId="15" fillId="12" borderId="39" xfId="4" applyNumberFormat="1" applyFill="1" applyBorder="1"/>
    <xf numFmtId="3" fontId="20" fillId="12" borderId="57" xfId="4" applyNumberFormat="1" applyFont="1" applyFill="1" applyBorder="1"/>
    <xf numFmtId="0" fontId="15" fillId="20" borderId="0" xfId="4" applyFill="1"/>
    <xf numFmtId="1" fontId="32" fillId="0" borderId="0" xfId="2" applyNumberFormat="1" applyFont="1" applyAlignment="1">
      <alignment horizontal="center" vertical="center" wrapText="1"/>
    </xf>
    <xf numFmtId="3" fontId="19" fillId="13" borderId="24" xfId="2" applyNumberFormat="1" applyFont="1" applyFill="1" applyBorder="1" applyAlignment="1">
      <alignment horizontal="right" wrapText="1"/>
    </xf>
    <xf numFmtId="0" fontId="33" fillId="0" borderId="0" xfId="2" applyFont="1"/>
    <xf numFmtId="0" fontId="34" fillId="0" borderId="0" xfId="4" applyFont="1"/>
    <xf numFmtId="0" fontId="3" fillId="10" borderId="24" xfId="4" applyFont="1" applyFill="1" applyBorder="1" applyAlignment="1">
      <alignment horizontal="center" vertical="center" wrapText="1"/>
    </xf>
    <xf numFmtId="3" fontId="15" fillId="12" borderId="30" xfId="4" applyNumberFormat="1" applyFill="1" applyBorder="1" applyAlignment="1">
      <alignment horizontal="right" vertical="center" wrapText="1"/>
    </xf>
    <xf numFmtId="3" fontId="20" fillId="12" borderId="49" xfId="2" applyNumberFormat="1" applyFont="1" applyFill="1" applyBorder="1" applyAlignment="1">
      <alignment horizontal="right"/>
    </xf>
    <xf numFmtId="3" fontId="20" fillId="12" borderId="46" xfId="4" applyNumberFormat="1" applyFont="1" applyFill="1" applyBorder="1" applyAlignment="1">
      <alignment vertical="center"/>
    </xf>
    <xf numFmtId="3" fontId="20" fillId="12" borderId="64" xfId="4" applyNumberFormat="1" applyFont="1" applyFill="1" applyBorder="1" applyAlignment="1">
      <alignment vertical="center"/>
    </xf>
    <xf numFmtId="3" fontId="20" fillId="12" borderId="47" xfId="4" applyNumberFormat="1" applyFont="1" applyFill="1" applyBorder="1" applyAlignment="1">
      <alignment vertical="center"/>
    </xf>
    <xf numFmtId="3" fontId="20" fillId="12" borderId="67" xfId="4" applyNumberFormat="1" applyFont="1" applyFill="1" applyBorder="1" applyAlignment="1">
      <alignment vertical="center"/>
    </xf>
    <xf numFmtId="3" fontId="20" fillId="12" borderId="46" xfId="0" applyNumberFormat="1" applyFont="1" applyFill="1" applyBorder="1"/>
    <xf numFmtId="3" fontId="20" fillId="12" borderId="47" xfId="0" applyNumberFormat="1" applyFont="1" applyFill="1" applyBorder="1"/>
    <xf numFmtId="3" fontId="20" fillId="12" borderId="66" xfId="0" applyNumberFormat="1" applyFont="1" applyFill="1" applyBorder="1"/>
    <xf numFmtId="3" fontId="20" fillId="12" borderId="64" xfId="0" applyNumberFormat="1" applyFont="1" applyFill="1" applyBorder="1"/>
    <xf numFmtId="3" fontId="20" fillId="12" borderId="24" xfId="4" applyNumberFormat="1" applyFont="1" applyFill="1" applyBorder="1" applyAlignment="1">
      <alignment vertical="center"/>
    </xf>
    <xf numFmtId="3" fontId="20" fillId="12" borderId="47" xfId="0" applyNumberFormat="1" applyFont="1" applyFill="1" applyBorder="1" applyAlignment="1">
      <alignment vertical="center"/>
    </xf>
    <xf numFmtId="3" fontId="20" fillId="12" borderId="67" xfId="0" applyNumberFormat="1" applyFont="1" applyFill="1" applyBorder="1" applyAlignment="1">
      <alignment vertical="center"/>
    </xf>
    <xf numFmtId="3" fontId="20" fillId="12" borderId="23" xfId="4" applyNumberFormat="1" applyFont="1" applyFill="1" applyBorder="1"/>
    <xf numFmtId="3" fontId="15" fillId="12" borderId="23" xfId="4" applyNumberFormat="1" applyFill="1" applyBorder="1"/>
    <xf numFmtId="165" fontId="29" fillId="12" borderId="47" xfId="1" applyNumberFormat="1" applyFont="1" applyFill="1" applyBorder="1" applyAlignment="1">
      <alignment horizontal="right" wrapText="1"/>
    </xf>
    <xf numFmtId="165" fontId="29" fillId="12" borderId="47" xfId="1" applyNumberFormat="1" applyFont="1" applyFill="1" applyBorder="1" applyAlignment="1">
      <alignment horizontal="right" vertical="center" wrapText="1"/>
    </xf>
    <xf numFmtId="165" fontId="29" fillId="12" borderId="49" xfId="1" applyNumberFormat="1" applyFont="1" applyFill="1" applyBorder="1" applyAlignment="1">
      <alignment horizontal="right" wrapText="1"/>
    </xf>
    <xf numFmtId="165" fontId="29" fillId="12" borderId="67" xfId="1" applyNumberFormat="1" applyFont="1" applyFill="1" applyBorder="1" applyAlignment="1">
      <alignment horizontal="right" wrapText="1"/>
    </xf>
    <xf numFmtId="3" fontId="22" fillId="11" borderId="24" xfId="2" applyNumberFormat="1" applyFont="1" applyFill="1" applyBorder="1" applyAlignment="1">
      <alignment horizontal="right"/>
    </xf>
    <xf numFmtId="3" fontId="20" fillId="13" borderId="66" xfId="0" applyNumberFormat="1" applyFont="1" applyFill="1" applyBorder="1"/>
    <xf numFmtId="0" fontId="20" fillId="0" borderId="78" xfId="2" applyFont="1" applyBorder="1"/>
    <xf numFmtId="0" fontId="15" fillId="21" borderId="0" xfId="4" applyFill="1"/>
    <xf numFmtId="3" fontId="15" fillId="21" borderId="0" xfId="4" applyNumberFormat="1" applyFill="1"/>
    <xf numFmtId="0" fontId="0" fillId="22" borderId="0" xfId="0" applyFill="1"/>
    <xf numFmtId="3" fontId="15" fillId="0" borderId="0" xfId="4" applyNumberFormat="1"/>
    <xf numFmtId="0" fontId="16" fillId="0" borderId="0" xfId="4" applyFont="1" applyAlignment="1">
      <alignment horizontal="right"/>
    </xf>
    <xf numFmtId="0" fontId="31" fillId="0" borderId="0" xfId="4" applyFont="1" applyAlignment="1">
      <alignment horizontal="right"/>
    </xf>
    <xf numFmtId="3" fontId="31" fillId="0" borderId="0" xfId="4" applyNumberFormat="1" applyFont="1"/>
    <xf numFmtId="3" fontId="35" fillId="22" borderId="0" xfId="4" applyNumberFormat="1" applyFont="1" applyFill="1"/>
    <xf numFmtId="3" fontId="35" fillId="0" borderId="0" xfId="4" applyNumberFormat="1" applyFont="1"/>
    <xf numFmtId="0" fontId="15" fillId="23" borderId="0" xfId="4" applyFill="1"/>
    <xf numFmtId="0" fontId="15" fillId="22" borderId="0" xfId="4" applyFill="1"/>
    <xf numFmtId="0" fontId="0" fillId="23" borderId="0" xfId="0" applyFill="1"/>
    <xf numFmtId="3" fontId="36" fillId="0" borderId="0" xfId="4" applyNumberFormat="1" applyFont="1"/>
    <xf numFmtId="0" fontId="29" fillId="23" borderId="0" xfId="4" applyFont="1" applyFill="1"/>
    <xf numFmtId="0" fontId="3" fillId="23" borderId="0" xfId="4" applyFont="1" applyFill="1"/>
    <xf numFmtId="166" fontId="20" fillId="0" borderId="0" xfId="0" applyNumberFormat="1" applyFont="1"/>
    <xf numFmtId="3" fontId="22" fillId="17" borderId="15" xfId="0" applyNumberFormat="1" applyFont="1" applyFill="1" applyBorder="1" applyAlignment="1">
      <alignment horizontal="right" vertical="center"/>
    </xf>
    <xf numFmtId="0" fontId="6" fillId="16" borderId="15" xfId="4" applyFont="1" applyFill="1" applyBorder="1" applyAlignment="1">
      <alignment horizontal="center" vertical="center" wrapText="1"/>
    </xf>
    <xf numFmtId="3" fontId="22" fillId="16" borderId="24" xfId="0" applyNumberFormat="1" applyFont="1" applyFill="1" applyBorder="1" applyAlignment="1">
      <alignment horizontal="right" vertical="center"/>
    </xf>
    <xf numFmtId="3" fontId="19" fillId="0" borderId="59" xfId="0" applyNumberFormat="1" applyFont="1" applyBorder="1" applyAlignment="1">
      <alignment horizontal="right"/>
    </xf>
    <xf numFmtId="3" fontId="19" fillId="0" borderId="39" xfId="0" applyNumberFormat="1" applyFont="1" applyBorder="1" applyAlignment="1">
      <alignment horizontal="right"/>
    </xf>
    <xf numFmtId="3" fontId="22" fillId="10" borderId="24" xfId="0" applyNumberFormat="1" applyFont="1" applyFill="1" applyBorder="1" applyAlignment="1">
      <alignment horizontal="right" vertical="center"/>
    </xf>
    <xf numFmtId="3" fontId="19" fillId="0" borderId="46" xfId="0" applyNumberFormat="1" applyFont="1" applyBorder="1" applyAlignment="1">
      <alignment horizontal="right"/>
    </xf>
    <xf numFmtId="3" fontId="19" fillId="0" borderId="47" xfId="0" applyNumberFormat="1" applyFont="1" applyBorder="1" applyAlignment="1">
      <alignment horizontal="right"/>
    </xf>
    <xf numFmtId="3" fontId="19" fillId="0" borderId="28" xfId="0" applyNumberFormat="1" applyFont="1" applyBorder="1" applyAlignment="1">
      <alignment horizontal="right"/>
    </xf>
    <xf numFmtId="3" fontId="22" fillId="0" borderId="30" xfId="0" applyNumberFormat="1" applyFont="1" applyBorder="1" applyAlignment="1">
      <alignment horizontal="right"/>
    </xf>
    <xf numFmtId="3" fontId="22" fillId="0" borderId="47" xfId="0" applyNumberFormat="1" applyFont="1" applyBorder="1" applyAlignment="1">
      <alignment horizontal="right"/>
    </xf>
    <xf numFmtId="3" fontId="22" fillId="14" borderId="30" xfId="0" applyNumberFormat="1" applyFont="1" applyFill="1" applyBorder="1" applyAlignment="1">
      <alignment horizontal="right"/>
    </xf>
    <xf numFmtId="3" fontId="22" fillId="14" borderId="47" xfId="0" applyNumberFormat="1" applyFont="1" applyFill="1" applyBorder="1" applyAlignment="1">
      <alignment horizontal="right"/>
    </xf>
    <xf numFmtId="3" fontId="19" fillId="0" borderId="64" xfId="0" applyNumberFormat="1" applyFont="1" applyBorder="1" applyAlignment="1">
      <alignment horizontal="right"/>
    </xf>
    <xf numFmtId="3" fontId="20" fillId="0" borderId="30" xfId="0" applyNumberFormat="1" applyFont="1" applyBorder="1" applyAlignment="1">
      <alignment horizontal="right"/>
    </xf>
    <xf numFmtId="3" fontId="18" fillId="0" borderId="47" xfId="0" applyNumberFormat="1" applyFont="1" applyBorder="1" applyAlignment="1">
      <alignment horizontal="right"/>
    </xf>
    <xf numFmtId="3" fontId="18" fillId="0" borderId="39" xfId="0" applyNumberFormat="1" applyFont="1" applyBorder="1" applyAlignment="1">
      <alignment horizontal="right"/>
    </xf>
    <xf numFmtId="3" fontId="18" fillId="0" borderId="59" xfId="0" applyNumberFormat="1" applyFont="1" applyBorder="1" applyAlignment="1">
      <alignment horizontal="right"/>
    </xf>
    <xf numFmtId="3" fontId="31" fillId="3" borderId="24" xfId="2" applyNumberFormat="1" applyFont="1" applyFill="1" applyBorder="1" applyAlignment="1">
      <alignment horizontal="right" wrapText="1"/>
    </xf>
    <xf numFmtId="3" fontId="31" fillId="3" borderId="70" xfId="2" applyNumberFormat="1" applyFont="1" applyFill="1" applyBorder="1" applyAlignment="1">
      <alignment horizontal="right"/>
    </xf>
    <xf numFmtId="3" fontId="31" fillId="7" borderId="72" xfId="2" applyNumberFormat="1" applyFont="1" applyFill="1" applyBorder="1" applyAlignment="1">
      <alignment horizontal="right"/>
    </xf>
    <xf numFmtId="3" fontId="31" fillId="10" borderId="24" xfId="0" applyNumberFormat="1" applyFont="1" applyFill="1" applyBorder="1" applyAlignment="1">
      <alignment horizontal="right" vertical="center"/>
    </xf>
    <xf numFmtId="3" fontId="19" fillId="14" borderId="46" xfId="0" applyNumberFormat="1" applyFont="1" applyFill="1" applyBorder="1" applyAlignment="1">
      <alignment horizontal="right"/>
    </xf>
    <xf numFmtId="3" fontId="19" fillId="14" borderId="47" xfId="0" applyNumberFormat="1" applyFont="1" applyFill="1" applyBorder="1" applyAlignment="1">
      <alignment horizontal="right"/>
    </xf>
    <xf numFmtId="3" fontId="19" fillId="14" borderId="64" xfId="0" applyNumberFormat="1" applyFont="1" applyFill="1" applyBorder="1" applyAlignment="1">
      <alignment horizontal="right"/>
    </xf>
    <xf numFmtId="3" fontId="18" fillId="0" borderId="23" xfId="4" applyNumberFormat="1" applyFont="1" applyBorder="1" applyAlignment="1">
      <alignment horizontal="right"/>
    </xf>
    <xf numFmtId="3" fontId="20" fillId="0" borderId="28" xfId="4" applyNumberFormat="1" applyFont="1" applyBorder="1" applyAlignment="1">
      <alignment horizontal="right" vertical="center" wrapText="1"/>
    </xf>
    <xf numFmtId="0" fontId="40" fillId="0" borderId="0" xfId="0" applyFont="1"/>
    <xf numFmtId="3" fontId="41" fillId="0" borderId="0" xfId="0" applyNumberFormat="1" applyFont="1"/>
    <xf numFmtId="3" fontId="40" fillId="0" borderId="0" xfId="0" applyNumberFormat="1" applyFont="1"/>
    <xf numFmtId="3" fontId="8" fillId="0" borderId="0" xfId="0" applyNumberFormat="1" applyFont="1"/>
    <xf numFmtId="0" fontId="42" fillId="0" borderId="0" xfId="0" applyFont="1"/>
    <xf numFmtId="3" fontId="12" fillId="0" borderId="0" xfId="0" applyNumberFormat="1" applyFont="1"/>
    <xf numFmtId="0" fontId="42" fillId="0" borderId="0" xfId="0" applyFont="1" applyAlignment="1">
      <alignment horizontal="right"/>
    </xf>
    <xf numFmtId="0" fontId="40" fillId="0" borderId="0" xfId="0" applyFont="1" applyAlignment="1">
      <alignment horizontal="right"/>
    </xf>
    <xf numFmtId="3" fontId="20" fillId="0" borderId="59" xfId="0" applyNumberFormat="1" applyFont="1" applyBorder="1" applyAlignment="1">
      <alignment horizontal="right"/>
    </xf>
    <xf numFmtId="3" fontId="20" fillId="0" borderId="39" xfId="0" applyNumberFormat="1" applyFont="1" applyBorder="1" applyAlignment="1">
      <alignment horizontal="right"/>
    </xf>
    <xf numFmtId="3" fontId="19" fillId="0" borderId="47" xfId="9" applyNumberFormat="1" applyFont="1" applyBorder="1" applyAlignment="1">
      <alignment horizontal="right" vertical="center" wrapText="1"/>
    </xf>
    <xf numFmtId="3" fontId="20" fillId="0" borderId="30" xfId="4" applyNumberFormat="1" applyFont="1" applyBorder="1" applyAlignment="1">
      <alignment horizontal="right" vertical="center" wrapText="1"/>
    </xf>
    <xf numFmtId="3" fontId="31" fillId="3" borderId="24" xfId="2" applyNumberFormat="1" applyFont="1" applyFill="1" applyBorder="1" applyAlignment="1">
      <alignment horizontal="right"/>
    </xf>
    <xf numFmtId="3" fontId="31" fillId="7" borderId="30" xfId="2" applyNumberFormat="1" applyFont="1" applyFill="1" applyBorder="1" applyAlignment="1">
      <alignment horizontal="right"/>
    </xf>
    <xf numFmtId="3" fontId="20" fillId="0" borderId="23" xfId="0" applyNumberFormat="1" applyFont="1" applyBorder="1" applyAlignment="1">
      <alignment horizontal="right"/>
    </xf>
    <xf numFmtId="3" fontId="20" fillId="0" borderId="39" xfId="4" applyNumberFormat="1" applyFont="1" applyBorder="1" applyAlignment="1">
      <alignment horizontal="right" vertical="center"/>
    </xf>
    <xf numFmtId="0" fontId="22" fillId="0" borderId="0" xfId="0" applyFont="1" applyAlignment="1">
      <alignment horizontal="right"/>
    </xf>
    <xf numFmtId="3" fontId="31" fillId="17" borderId="0" xfId="0" applyNumberFormat="1" applyFont="1" applyFill="1"/>
    <xf numFmtId="0" fontId="3" fillId="19" borderId="24" xfId="4" applyFont="1" applyFill="1" applyBorder="1" applyAlignment="1">
      <alignment horizontal="center" vertical="center" wrapText="1"/>
    </xf>
    <xf numFmtId="0" fontId="21" fillId="6" borderId="52" xfId="0" applyFont="1" applyFill="1" applyBorder="1" applyAlignment="1">
      <alignment horizontal="center" vertical="center" wrapText="1"/>
    </xf>
    <xf numFmtId="3" fontId="19" fillId="7" borderId="59" xfId="0" applyNumberFormat="1" applyFont="1" applyFill="1" applyBorder="1" applyAlignment="1">
      <alignment horizontal="right"/>
    </xf>
    <xf numFmtId="3" fontId="19" fillId="7" borderId="39" xfId="0" applyNumberFormat="1" applyFont="1" applyFill="1" applyBorder="1" applyAlignment="1">
      <alignment horizontal="right"/>
    </xf>
    <xf numFmtId="3" fontId="20" fillId="7" borderId="39" xfId="0" applyNumberFormat="1" applyFont="1" applyFill="1" applyBorder="1" applyAlignment="1">
      <alignment horizontal="right"/>
    </xf>
    <xf numFmtId="3" fontId="19" fillId="7" borderId="40" xfId="0" applyNumberFormat="1" applyFont="1" applyFill="1" applyBorder="1" applyAlignment="1">
      <alignment horizontal="right"/>
    </xf>
    <xf numFmtId="3" fontId="19" fillId="7" borderId="5" xfId="0" applyNumberFormat="1" applyFont="1" applyFill="1" applyBorder="1" applyAlignment="1">
      <alignment horizontal="right"/>
    </xf>
    <xf numFmtId="3" fontId="20" fillId="7" borderId="5" xfId="0" applyNumberFormat="1" applyFont="1" applyFill="1" applyBorder="1" applyAlignment="1">
      <alignment horizontal="right"/>
    </xf>
    <xf numFmtId="3" fontId="22" fillId="6" borderId="16" xfId="0" applyNumberFormat="1" applyFont="1" applyFill="1" applyBorder="1" applyAlignment="1">
      <alignment horizontal="right" vertical="center"/>
    </xf>
    <xf numFmtId="0" fontId="24" fillId="6" borderId="16" xfId="0" applyFont="1" applyFill="1" applyBorder="1" applyAlignment="1">
      <alignment horizontal="center" vertical="center" wrapText="1"/>
    </xf>
    <xf numFmtId="3" fontId="18" fillId="0" borderId="46" xfId="0" applyNumberFormat="1" applyFont="1" applyBorder="1" applyAlignment="1">
      <alignment horizontal="right"/>
    </xf>
    <xf numFmtId="3" fontId="18" fillId="0" borderId="64" xfId="0" applyNumberFormat="1" applyFont="1" applyBorder="1" applyAlignment="1">
      <alignment horizontal="right"/>
    </xf>
    <xf numFmtId="3" fontId="19" fillId="14" borderId="59" xfId="0" applyNumberFormat="1" applyFont="1" applyFill="1" applyBorder="1" applyAlignment="1">
      <alignment horizontal="right"/>
    </xf>
    <xf numFmtId="3" fontId="19" fillId="14" borderId="39" xfId="0" applyNumberFormat="1" applyFont="1" applyFill="1" applyBorder="1" applyAlignment="1">
      <alignment horizontal="right"/>
    </xf>
    <xf numFmtId="3" fontId="20" fillId="14" borderId="39" xfId="0" applyNumberFormat="1" applyFont="1" applyFill="1" applyBorder="1" applyAlignment="1">
      <alignment horizontal="right"/>
    </xf>
    <xf numFmtId="3" fontId="19" fillId="14" borderId="76" xfId="0" applyNumberFormat="1" applyFont="1" applyFill="1" applyBorder="1" applyAlignment="1">
      <alignment horizontal="right"/>
    </xf>
    <xf numFmtId="3" fontId="40" fillId="0" borderId="0" xfId="0" applyNumberFormat="1" applyFont="1" applyAlignment="1">
      <alignment horizontal="right"/>
    </xf>
    <xf numFmtId="3" fontId="42" fillId="0" borderId="0" xfId="0" applyNumberFormat="1" applyFont="1" applyAlignment="1">
      <alignment horizontal="right"/>
    </xf>
    <xf numFmtId="3" fontId="19" fillId="7" borderId="68" xfId="0" applyNumberFormat="1" applyFont="1" applyFill="1" applyBorder="1" applyAlignment="1">
      <alignment horizontal="right"/>
    </xf>
    <xf numFmtId="3" fontId="31" fillId="10" borderId="70" xfId="0" applyNumberFormat="1" applyFont="1" applyFill="1" applyBorder="1" applyAlignment="1">
      <alignment horizontal="right" vertical="center"/>
    </xf>
    <xf numFmtId="0" fontId="37" fillId="24" borderId="16" xfId="0" applyFont="1" applyFill="1" applyBorder="1" applyAlignment="1">
      <alignment horizontal="center" vertical="center" wrapText="1"/>
    </xf>
    <xf numFmtId="3" fontId="42" fillId="0" borderId="0" xfId="0" applyNumberFormat="1" applyFont="1"/>
    <xf numFmtId="3" fontId="21" fillId="16" borderId="24" xfId="2" applyNumberFormat="1" applyFont="1" applyFill="1" applyBorder="1" applyAlignment="1">
      <alignment horizontal="right" wrapText="1"/>
    </xf>
    <xf numFmtId="3" fontId="18" fillId="0" borderId="47" xfId="0" applyNumberFormat="1" applyFont="1" applyBorder="1" applyAlignment="1">
      <alignment horizontal="right" vertical="center"/>
    </xf>
    <xf numFmtId="3" fontId="20" fillId="0" borderId="47" xfId="0" applyNumberFormat="1" applyFont="1" applyBorder="1" applyAlignment="1">
      <alignment horizontal="right" vertical="center"/>
    </xf>
    <xf numFmtId="3" fontId="20" fillId="0" borderId="46" xfId="0" applyNumberFormat="1" applyFont="1" applyBorder="1" applyAlignment="1">
      <alignment horizontal="right"/>
    </xf>
    <xf numFmtId="3" fontId="20" fillId="0" borderId="38" xfId="0" applyNumberFormat="1" applyFont="1" applyBorder="1" applyAlignment="1">
      <alignment horizontal="right"/>
    </xf>
    <xf numFmtId="3" fontId="18" fillId="0" borderId="39" xfId="4" applyNumberFormat="1" applyFont="1" applyBorder="1" applyAlignment="1">
      <alignment horizontal="right" vertical="center"/>
    </xf>
    <xf numFmtId="3" fontId="20" fillId="0" borderId="15" xfId="4" applyNumberFormat="1" applyFont="1" applyBorder="1" applyAlignment="1">
      <alignment horizontal="right" vertical="center"/>
    </xf>
    <xf numFmtId="3" fontId="20" fillId="0" borderId="57" xfId="4" applyNumberFormat="1" applyFont="1" applyBorder="1" applyAlignment="1">
      <alignment horizontal="right"/>
    </xf>
    <xf numFmtId="3" fontId="31" fillId="7" borderId="65" xfId="4" applyNumberFormat="1" applyFont="1" applyFill="1" applyBorder="1" applyAlignment="1">
      <alignment horizontal="right"/>
    </xf>
    <xf numFmtId="3" fontId="16" fillId="7" borderId="65" xfId="4" applyNumberFormat="1" applyFont="1" applyFill="1" applyBorder="1" applyAlignment="1">
      <alignment horizontal="right"/>
    </xf>
    <xf numFmtId="3" fontId="31" fillId="3" borderId="70" xfId="2" applyNumberFormat="1" applyFont="1" applyFill="1" applyBorder="1" applyAlignment="1">
      <alignment horizontal="right" wrapText="1"/>
    </xf>
    <xf numFmtId="3" fontId="21" fillId="3" borderId="70" xfId="2" applyNumberFormat="1" applyFont="1" applyFill="1" applyBorder="1" applyAlignment="1">
      <alignment horizontal="right" wrapText="1"/>
    </xf>
    <xf numFmtId="3" fontId="31" fillId="3" borderId="24" xfId="4" applyNumberFormat="1" applyFont="1" applyFill="1" applyBorder="1" applyAlignment="1">
      <alignment horizontal="right"/>
    </xf>
    <xf numFmtId="3" fontId="20" fillId="0" borderId="46" xfId="4" applyNumberFormat="1" applyFont="1" applyBorder="1" applyAlignment="1">
      <alignment horizontal="right"/>
    </xf>
    <xf numFmtId="3" fontId="20" fillId="0" borderId="23" xfId="4" applyNumberFormat="1" applyFont="1" applyBorder="1" applyAlignment="1">
      <alignment horizontal="right"/>
    </xf>
    <xf numFmtId="3" fontId="22" fillId="3" borderId="24" xfId="4" applyNumberFormat="1" applyFont="1" applyFill="1" applyBorder="1" applyAlignment="1">
      <alignment horizontal="right"/>
    </xf>
    <xf numFmtId="3" fontId="22" fillId="3" borderId="30" xfId="2" applyNumberFormat="1" applyFont="1" applyFill="1" applyBorder="1" applyAlignment="1">
      <alignment horizontal="right" wrapText="1"/>
    </xf>
    <xf numFmtId="3" fontId="19" fillId="0" borderId="39" xfId="9" applyNumberFormat="1" applyFont="1" applyBorder="1" applyAlignment="1">
      <alignment horizontal="right" vertical="center" wrapText="1"/>
    </xf>
    <xf numFmtId="3" fontId="21" fillId="16" borderId="15" xfId="2" applyNumberFormat="1" applyFont="1" applyFill="1" applyBorder="1" applyAlignment="1">
      <alignment horizontal="right" wrapText="1"/>
    </xf>
    <xf numFmtId="0" fontId="6" fillId="12" borderId="15" xfId="4" applyFont="1" applyFill="1" applyBorder="1" applyAlignment="1">
      <alignment horizontal="center" vertical="center" wrapText="1"/>
    </xf>
    <xf numFmtId="3" fontId="20" fillId="0" borderId="64" xfId="0" applyNumberFormat="1" applyFont="1" applyBorder="1" applyAlignment="1">
      <alignment horizontal="right"/>
    </xf>
    <xf numFmtId="3" fontId="20" fillId="0" borderId="28" xfId="0" applyNumberFormat="1" applyFont="1" applyBorder="1" applyAlignment="1">
      <alignment horizontal="right"/>
    </xf>
    <xf numFmtId="0" fontId="43" fillId="16" borderId="0" xfId="0" applyFont="1" applyFill="1"/>
    <xf numFmtId="3" fontId="18" fillId="0" borderId="47" xfId="4" applyNumberFormat="1" applyFont="1" applyBorder="1" applyAlignment="1">
      <alignment horizontal="right" vertical="center"/>
    </xf>
    <xf numFmtId="3" fontId="20" fillId="0" borderId="49" xfId="0" applyNumberFormat="1" applyFont="1" applyBorder="1" applyAlignment="1">
      <alignment horizontal="right"/>
    </xf>
    <xf numFmtId="3" fontId="22" fillId="7" borderId="65" xfId="4" applyNumberFormat="1" applyFont="1" applyFill="1" applyBorder="1" applyAlignment="1">
      <alignment horizontal="right"/>
    </xf>
    <xf numFmtId="3" fontId="20" fillId="0" borderId="47" xfId="4" applyNumberFormat="1" applyFont="1" applyBorder="1" applyAlignment="1">
      <alignment horizontal="right" vertical="center"/>
    </xf>
    <xf numFmtId="3" fontId="20" fillId="0" borderId="24" xfId="4" applyNumberFormat="1" applyFont="1" applyBorder="1" applyAlignment="1">
      <alignment horizontal="right" vertical="center"/>
    </xf>
    <xf numFmtId="3" fontId="22" fillId="7" borderId="47" xfId="4" applyNumberFormat="1" applyFont="1" applyFill="1" applyBorder="1" applyAlignment="1">
      <alignment horizontal="right"/>
    </xf>
    <xf numFmtId="0" fontId="44" fillId="0" borderId="0" xfId="4" applyFont="1"/>
    <xf numFmtId="0" fontId="45" fillId="0" borderId="0" xfId="4" applyFont="1"/>
    <xf numFmtId="0" fontId="46" fillId="0" borderId="0" xfId="0" applyFont="1"/>
    <xf numFmtId="0" fontId="47" fillId="24" borderId="0" xfId="0" applyFont="1" applyFill="1"/>
    <xf numFmtId="0" fontId="40" fillId="6" borderId="15" xfId="4" applyFont="1" applyFill="1" applyBorder="1" applyAlignment="1">
      <alignment horizontal="center" vertical="center" wrapText="1"/>
    </xf>
    <xf numFmtId="0" fontId="40" fillId="6" borderId="24" xfId="4" applyFont="1" applyFill="1" applyBorder="1" applyAlignment="1">
      <alignment horizontal="center" vertical="center" wrapText="1"/>
    </xf>
    <xf numFmtId="0" fontId="40" fillId="17" borderId="15" xfId="4" applyFont="1" applyFill="1" applyBorder="1" applyAlignment="1">
      <alignment horizontal="center" vertical="center" wrapText="1"/>
    </xf>
    <xf numFmtId="0" fontId="40" fillId="17" borderId="24" xfId="4" applyFont="1" applyFill="1" applyBorder="1" applyAlignment="1">
      <alignment horizontal="center" vertical="center" wrapText="1"/>
    </xf>
    <xf numFmtId="3" fontId="31" fillId="6" borderId="70" xfId="2" applyNumberFormat="1" applyFont="1" applyFill="1" applyBorder="1" applyAlignment="1">
      <alignment horizontal="right"/>
    </xf>
    <xf numFmtId="3" fontId="31" fillId="6" borderId="70" xfId="4" applyNumberFormat="1" applyFont="1" applyFill="1" applyBorder="1" applyAlignment="1">
      <alignment horizontal="right"/>
    </xf>
    <xf numFmtId="3" fontId="31" fillId="6" borderId="24" xfId="2" applyNumberFormat="1" applyFont="1" applyFill="1" applyBorder="1" applyAlignment="1">
      <alignment horizontal="right"/>
    </xf>
    <xf numFmtId="3" fontId="22" fillId="6" borderId="24" xfId="2" applyNumberFormat="1" applyFont="1" applyFill="1" applyBorder="1" applyAlignment="1">
      <alignment horizontal="right" wrapText="1"/>
    </xf>
    <xf numFmtId="3" fontId="18" fillId="0" borderId="46" xfId="4" applyNumberFormat="1" applyFont="1" applyBorder="1" applyAlignment="1">
      <alignment horizontal="right"/>
    </xf>
    <xf numFmtId="3" fontId="22" fillId="12" borderId="24" xfId="2" applyNumberFormat="1" applyFont="1" applyFill="1" applyBorder="1" applyAlignment="1">
      <alignment horizontal="right" wrapText="1"/>
    </xf>
    <xf numFmtId="3" fontId="31" fillId="12" borderId="70" xfId="2" applyNumberFormat="1" applyFont="1" applyFill="1" applyBorder="1" applyAlignment="1">
      <alignment horizontal="right"/>
    </xf>
    <xf numFmtId="3" fontId="31" fillId="17" borderId="24" xfId="2" applyNumberFormat="1" applyFont="1" applyFill="1" applyBorder="1" applyAlignment="1">
      <alignment horizontal="right" wrapText="1"/>
    </xf>
    <xf numFmtId="3" fontId="31" fillId="17" borderId="24" xfId="2" applyNumberFormat="1" applyFont="1" applyFill="1" applyBorder="1" applyAlignment="1">
      <alignment horizontal="right"/>
    </xf>
    <xf numFmtId="3" fontId="31" fillId="17" borderId="70" xfId="2" applyNumberFormat="1" applyFont="1" applyFill="1" applyBorder="1" applyAlignment="1">
      <alignment horizontal="right"/>
    </xf>
    <xf numFmtId="3" fontId="31" fillId="17" borderId="16" xfId="0" applyNumberFormat="1" applyFont="1" applyFill="1" applyBorder="1" applyAlignment="1">
      <alignment horizontal="right" vertical="center"/>
    </xf>
    <xf numFmtId="3" fontId="31" fillId="17" borderId="16" xfId="4" applyNumberFormat="1" applyFont="1" applyFill="1" applyBorder="1" applyAlignment="1">
      <alignment horizontal="right"/>
    </xf>
    <xf numFmtId="3" fontId="18" fillId="0" borderId="30" xfId="0" applyNumberFormat="1" applyFont="1" applyBorder="1" applyAlignment="1">
      <alignment horizontal="right"/>
    </xf>
    <xf numFmtId="3" fontId="18" fillId="0" borderId="24" xfId="4" applyNumberFormat="1" applyFont="1" applyBorder="1" applyAlignment="1">
      <alignment horizontal="right" vertical="center"/>
    </xf>
    <xf numFmtId="3" fontId="31" fillId="7" borderId="47" xfId="4" applyNumberFormat="1" applyFont="1" applyFill="1" applyBorder="1" applyAlignment="1">
      <alignment horizontal="right"/>
    </xf>
    <xf numFmtId="0" fontId="21" fillId="17" borderId="15" xfId="4" applyFont="1" applyFill="1" applyBorder="1" applyAlignment="1">
      <alignment horizontal="center" vertical="center" wrapText="1"/>
    </xf>
    <xf numFmtId="0" fontId="21" fillId="16" borderId="15" xfId="4" applyFont="1" applyFill="1" applyBorder="1" applyAlignment="1">
      <alignment horizontal="center" vertical="center" wrapText="1"/>
    </xf>
    <xf numFmtId="0" fontId="21" fillId="10" borderId="15" xfId="4" applyFont="1" applyFill="1" applyBorder="1" applyAlignment="1">
      <alignment horizontal="center" vertical="center" wrapText="1"/>
    </xf>
    <xf numFmtId="0" fontId="21" fillId="8" borderId="15" xfId="4" applyFont="1" applyFill="1" applyBorder="1" applyAlignment="1">
      <alignment horizontal="center" vertical="center" wrapText="1"/>
    </xf>
    <xf numFmtId="0" fontId="21" fillId="12" borderId="15" xfId="4" applyFont="1" applyFill="1" applyBorder="1" applyAlignment="1">
      <alignment horizontal="center" vertical="center" wrapText="1"/>
    </xf>
    <xf numFmtId="3" fontId="22" fillId="14" borderId="79" xfId="0" applyNumberFormat="1" applyFont="1" applyFill="1" applyBorder="1"/>
    <xf numFmtId="0" fontId="19" fillId="16" borderId="24" xfId="4" applyFont="1" applyFill="1" applyBorder="1" applyAlignment="1">
      <alignment horizontal="center" vertical="center" wrapText="1"/>
    </xf>
    <xf numFmtId="0" fontId="19" fillId="16" borderId="15" xfId="4" applyFont="1" applyFill="1" applyBorder="1" applyAlignment="1">
      <alignment horizontal="center" vertical="center" wrapText="1"/>
    </xf>
    <xf numFmtId="0" fontId="21" fillId="17" borderId="24" xfId="4" applyFont="1" applyFill="1" applyBorder="1" applyAlignment="1">
      <alignment horizontal="center" vertical="center" wrapText="1"/>
    </xf>
    <xf numFmtId="0" fontId="21" fillId="10" borderId="24" xfId="4" applyFont="1" applyFill="1" applyBorder="1" applyAlignment="1">
      <alignment horizontal="center" vertical="center" wrapText="1"/>
    </xf>
    <xf numFmtId="3" fontId="1" fillId="0" borderId="47" xfId="4" applyNumberFormat="1" applyFont="1" applyBorder="1" applyAlignment="1">
      <alignment horizontal="right"/>
    </xf>
    <xf numFmtId="3" fontId="1" fillId="0" borderId="23" xfId="4" applyNumberFormat="1" applyFont="1" applyBorder="1" applyAlignment="1">
      <alignment horizontal="right"/>
    </xf>
    <xf numFmtId="3" fontId="1" fillId="0" borderId="66" xfId="4" applyNumberFormat="1" applyFont="1" applyBorder="1" applyAlignment="1">
      <alignment horizontal="right"/>
    </xf>
    <xf numFmtId="3" fontId="1" fillId="0" borderId="40" xfId="4" applyNumberFormat="1" applyFont="1" applyBorder="1" applyAlignment="1">
      <alignment horizontal="right"/>
    </xf>
    <xf numFmtId="3" fontId="1" fillId="0" borderId="46" xfId="4" applyNumberFormat="1" applyFont="1" applyBorder="1" applyAlignment="1">
      <alignment horizontal="right"/>
    </xf>
    <xf numFmtId="3" fontId="1" fillId="0" borderId="3" xfId="4" applyNumberFormat="1" applyFont="1" applyBorder="1" applyAlignment="1">
      <alignment horizontal="right"/>
    </xf>
    <xf numFmtId="3" fontId="16" fillId="3" borderId="16" xfId="4" applyNumberFormat="1" applyFont="1" applyFill="1" applyBorder="1" applyAlignment="1">
      <alignment horizontal="right"/>
    </xf>
    <xf numFmtId="3" fontId="16" fillId="3" borderId="24" xfId="4" applyNumberFormat="1" applyFont="1" applyFill="1" applyBorder="1" applyAlignment="1">
      <alignment horizontal="right"/>
    </xf>
    <xf numFmtId="3" fontId="1" fillId="0" borderId="23" xfId="7" applyNumberFormat="1" applyFont="1" applyFill="1" applyBorder="1" applyAlignment="1">
      <alignment horizontal="right"/>
    </xf>
    <xf numFmtId="9" fontId="1" fillId="0" borderId="23" xfId="7" applyFont="1" applyFill="1" applyBorder="1" applyAlignment="1">
      <alignment horizontal="right"/>
    </xf>
    <xf numFmtId="3" fontId="20" fillId="0" borderId="0" xfId="4" applyNumberFormat="1" applyFont="1" applyAlignment="1">
      <alignment horizontal="right"/>
    </xf>
    <xf numFmtId="3" fontId="20" fillId="0" borderId="49" xfId="4" applyNumberFormat="1" applyFont="1" applyBorder="1" applyAlignment="1">
      <alignment horizontal="right"/>
    </xf>
    <xf numFmtId="3" fontId="1" fillId="0" borderId="5" xfId="4" applyNumberFormat="1" applyFont="1" applyBorder="1" applyAlignment="1">
      <alignment horizontal="right"/>
    </xf>
    <xf numFmtId="3" fontId="20" fillId="0" borderId="3" xfId="4" applyNumberFormat="1" applyFont="1" applyBorder="1" applyAlignment="1">
      <alignment horizontal="right"/>
    </xf>
    <xf numFmtId="3" fontId="20" fillId="0" borderId="23" xfId="7" applyNumberFormat="1" applyFont="1" applyBorder="1" applyAlignment="1">
      <alignment horizontal="right"/>
    </xf>
    <xf numFmtId="3" fontId="20" fillId="0" borderId="5" xfId="4" applyNumberFormat="1" applyFont="1" applyBorder="1" applyAlignment="1">
      <alignment horizontal="right"/>
    </xf>
    <xf numFmtId="3" fontId="20" fillId="0" borderId="47" xfId="4" applyNumberFormat="1" applyFont="1" applyBorder="1" applyAlignment="1">
      <alignment horizontal="right"/>
    </xf>
    <xf numFmtId="3" fontId="21" fillId="3" borderId="29" xfId="2" applyNumberFormat="1" applyFont="1" applyFill="1" applyBorder="1" applyAlignment="1">
      <alignment horizontal="right" wrapText="1"/>
    </xf>
    <xf numFmtId="3" fontId="21" fillId="3" borderId="30" xfId="2" applyNumberFormat="1" applyFont="1" applyFill="1" applyBorder="1" applyAlignment="1">
      <alignment horizontal="right" wrapText="1"/>
    </xf>
    <xf numFmtId="3" fontId="21" fillId="6" borderId="16" xfId="2" applyNumberFormat="1" applyFont="1" applyFill="1" applyBorder="1" applyAlignment="1">
      <alignment horizontal="right" wrapText="1"/>
    </xf>
    <xf numFmtId="3" fontId="21" fillId="10" borderId="24" xfId="2" applyNumberFormat="1" applyFont="1" applyFill="1" applyBorder="1" applyAlignment="1">
      <alignment horizontal="right" wrapText="1"/>
    </xf>
    <xf numFmtId="3" fontId="21" fillId="19" borderId="24" xfId="2" applyNumberFormat="1" applyFont="1" applyFill="1" applyBorder="1" applyAlignment="1">
      <alignment horizontal="right" wrapText="1"/>
    </xf>
    <xf numFmtId="3" fontId="21" fillId="17" borderId="24" xfId="2" applyNumberFormat="1" applyFont="1" applyFill="1" applyBorder="1" applyAlignment="1">
      <alignment horizontal="right" wrapText="1"/>
    </xf>
    <xf numFmtId="3" fontId="1" fillId="0" borderId="59" xfId="4" applyNumberFormat="1" applyFont="1" applyBorder="1" applyAlignment="1">
      <alignment horizontal="right"/>
    </xf>
    <xf numFmtId="3" fontId="1" fillId="0" borderId="57" xfId="4" applyNumberFormat="1" applyFont="1" applyBorder="1" applyAlignment="1">
      <alignment horizontal="right"/>
    </xf>
    <xf numFmtId="3" fontId="16" fillId="3" borderId="15" xfId="4" applyNumberFormat="1" applyFont="1" applyFill="1" applyBorder="1" applyAlignment="1">
      <alignment horizontal="right"/>
    </xf>
    <xf numFmtId="3" fontId="1" fillId="21" borderId="3" xfId="4" applyNumberFormat="1" applyFont="1" applyFill="1" applyBorder="1" applyAlignment="1">
      <alignment horizontal="right"/>
    </xf>
    <xf numFmtId="3" fontId="18" fillId="0" borderId="47" xfId="4" applyNumberFormat="1" applyFont="1" applyBorder="1" applyAlignment="1">
      <alignment horizontal="right"/>
    </xf>
    <xf numFmtId="3" fontId="1" fillId="0" borderId="71" xfId="4" applyNumberFormat="1" applyFont="1" applyBorder="1" applyAlignment="1">
      <alignment horizontal="right"/>
    </xf>
    <xf numFmtId="3" fontId="1" fillId="0" borderId="64" xfId="4" applyNumberFormat="1" applyFont="1" applyBorder="1" applyAlignment="1">
      <alignment horizontal="right"/>
    </xf>
    <xf numFmtId="3" fontId="1" fillId="22" borderId="3" xfId="4" applyNumberFormat="1" applyFont="1" applyFill="1" applyBorder="1" applyAlignment="1">
      <alignment horizontal="right"/>
    </xf>
    <xf numFmtId="3" fontId="1" fillId="14" borderId="23" xfId="4" applyNumberFormat="1" applyFont="1" applyFill="1" applyBorder="1" applyAlignment="1">
      <alignment horizontal="right"/>
    </xf>
    <xf numFmtId="3" fontId="21" fillId="3" borderId="28" xfId="2" applyNumberFormat="1" applyFont="1" applyFill="1" applyBorder="1" applyAlignment="1">
      <alignment horizontal="right" wrapText="1"/>
    </xf>
    <xf numFmtId="3" fontId="21" fillId="16" borderId="16" xfId="2" applyNumberFormat="1" applyFont="1" applyFill="1" applyBorder="1" applyAlignment="1">
      <alignment horizontal="right" wrapText="1"/>
    </xf>
    <xf numFmtId="3" fontId="31" fillId="7" borderId="24" xfId="2" applyNumberFormat="1" applyFont="1" applyFill="1" applyBorder="1" applyAlignment="1">
      <alignment horizontal="right" wrapText="1"/>
    </xf>
    <xf numFmtId="3" fontId="1" fillId="0" borderId="72" xfId="4" applyNumberFormat="1" applyFont="1" applyBorder="1" applyAlignment="1">
      <alignment horizontal="right" vertical="center" wrapText="1"/>
    </xf>
    <xf numFmtId="3" fontId="1" fillId="0" borderId="30" xfId="4" applyNumberFormat="1" applyFont="1" applyBorder="1" applyAlignment="1">
      <alignment horizontal="right" vertical="center" wrapText="1"/>
    </xf>
    <xf numFmtId="3" fontId="1" fillId="0" borderId="28" xfId="4" applyNumberFormat="1" applyFont="1" applyBorder="1" applyAlignment="1">
      <alignment horizontal="right" vertical="center" wrapText="1"/>
    </xf>
    <xf numFmtId="165" fontId="1" fillId="0" borderId="65" xfId="1" applyNumberFormat="1" applyFont="1" applyBorder="1" applyAlignment="1">
      <alignment horizontal="right" wrapText="1"/>
    </xf>
    <xf numFmtId="3" fontId="1" fillId="0" borderId="47" xfId="1" applyNumberFormat="1" applyFont="1" applyBorder="1" applyAlignment="1">
      <alignment horizontal="right" wrapText="1"/>
    </xf>
    <xf numFmtId="3" fontId="1" fillId="0" borderId="39" xfId="1" applyNumberFormat="1" applyFont="1" applyBorder="1" applyAlignment="1">
      <alignment horizontal="right" wrapText="1"/>
    </xf>
    <xf numFmtId="166" fontId="1" fillId="0" borderId="65" xfId="1" applyNumberFormat="1" applyFont="1" applyBorder="1" applyAlignment="1">
      <alignment horizontal="right" wrapText="1"/>
    </xf>
    <xf numFmtId="3" fontId="20" fillId="0" borderId="39" xfId="1" applyNumberFormat="1" applyFont="1" applyBorder="1" applyAlignment="1">
      <alignment horizontal="right" wrapText="1"/>
    </xf>
    <xf numFmtId="3" fontId="18" fillId="0" borderId="39" xfId="1" applyNumberFormat="1" applyFont="1" applyBorder="1" applyAlignment="1">
      <alignment horizontal="right" wrapText="1"/>
    </xf>
    <xf numFmtId="165" fontId="1" fillId="9" borderId="65" xfId="1" applyNumberFormat="1" applyFont="1" applyFill="1" applyBorder="1" applyAlignment="1">
      <alignment horizontal="right" vertical="center" wrapText="1"/>
    </xf>
    <xf numFmtId="3" fontId="1" fillId="9" borderId="47" xfId="1" applyNumberFormat="1" applyFont="1" applyFill="1" applyBorder="1" applyAlignment="1">
      <alignment horizontal="right" vertical="center" wrapText="1"/>
    </xf>
    <xf numFmtId="3" fontId="1" fillId="0" borderId="47" xfId="1" applyNumberFormat="1" applyFont="1" applyFill="1" applyBorder="1" applyAlignment="1">
      <alignment horizontal="right" wrapText="1"/>
    </xf>
    <xf numFmtId="166" fontId="1" fillId="0" borderId="47" xfId="1" applyNumberFormat="1" applyFont="1" applyBorder="1" applyAlignment="1">
      <alignment horizontal="right" wrapText="1"/>
    </xf>
    <xf numFmtId="166" fontId="1" fillId="0" borderId="39" xfId="1" applyNumberFormat="1" applyFont="1" applyBorder="1" applyAlignment="1">
      <alignment horizontal="right" wrapText="1"/>
    </xf>
    <xf numFmtId="165" fontId="1" fillId="0" borderId="75" xfId="1" applyNumberFormat="1" applyFont="1" applyBorder="1" applyAlignment="1">
      <alignment horizontal="right" wrapText="1"/>
    </xf>
    <xf numFmtId="166" fontId="1" fillId="0" borderId="67" xfId="1" applyNumberFormat="1" applyFont="1" applyBorder="1" applyAlignment="1">
      <alignment horizontal="right" wrapText="1"/>
    </xf>
    <xf numFmtId="3" fontId="20" fillId="0" borderId="73" xfId="4" applyNumberFormat="1" applyFont="1" applyBorder="1" applyAlignment="1">
      <alignment horizontal="right" vertical="center"/>
    </xf>
    <xf numFmtId="3" fontId="18" fillId="0" borderId="23" xfId="4" applyNumberFormat="1" applyFont="1" applyBorder="1" applyAlignment="1">
      <alignment horizontal="right" vertical="center"/>
    </xf>
    <xf numFmtId="3" fontId="20" fillId="0" borderId="57" xfId="4" applyNumberFormat="1" applyFont="1" applyBorder="1" applyAlignment="1">
      <alignment horizontal="right" vertical="center"/>
    </xf>
    <xf numFmtId="3" fontId="20" fillId="0" borderId="74" xfId="4" applyNumberFormat="1" applyFont="1" applyBorder="1" applyAlignment="1">
      <alignment horizontal="right" vertical="center"/>
    </xf>
    <xf numFmtId="3" fontId="20" fillId="0" borderId="66" xfId="4" applyNumberFormat="1" applyFont="1" applyBorder="1" applyAlignment="1">
      <alignment horizontal="right" vertical="center"/>
    </xf>
    <xf numFmtId="3" fontId="20" fillId="0" borderId="76" xfId="4" applyNumberFormat="1" applyFont="1" applyBorder="1" applyAlignment="1">
      <alignment horizontal="right" vertical="center"/>
    </xf>
    <xf numFmtId="3" fontId="20" fillId="0" borderId="73" xfId="0" applyNumberFormat="1" applyFont="1" applyBorder="1" applyAlignment="1">
      <alignment horizontal="right"/>
    </xf>
    <xf numFmtId="3" fontId="20" fillId="0" borderId="65" xfId="4" applyNumberFormat="1" applyFont="1" applyBorder="1" applyAlignment="1">
      <alignment horizontal="right" vertical="center"/>
    </xf>
    <xf numFmtId="3" fontId="20" fillId="0" borderId="75" xfId="4" applyNumberFormat="1" applyFont="1" applyBorder="1" applyAlignment="1">
      <alignment horizontal="right" vertical="center"/>
    </xf>
    <xf numFmtId="3" fontId="20" fillId="0" borderId="67" xfId="4" applyNumberFormat="1" applyFont="1" applyBorder="1" applyAlignment="1">
      <alignment horizontal="right" vertical="center"/>
    </xf>
    <xf numFmtId="3" fontId="20" fillId="0" borderId="57" xfId="0" applyNumberFormat="1" applyFont="1" applyBorder="1" applyAlignment="1">
      <alignment horizontal="right"/>
    </xf>
    <xf numFmtId="3" fontId="20" fillId="0" borderId="46" xfId="4" applyNumberFormat="1" applyFont="1" applyBorder="1" applyAlignment="1">
      <alignment horizontal="right" vertical="center"/>
    </xf>
    <xf numFmtId="3" fontId="20" fillId="0" borderId="59" xfId="4" applyNumberFormat="1" applyFont="1" applyBorder="1" applyAlignment="1">
      <alignment horizontal="right" vertical="center"/>
    </xf>
    <xf numFmtId="3" fontId="20" fillId="0" borderId="64" xfId="4" applyNumberFormat="1" applyFont="1" applyBorder="1" applyAlignment="1">
      <alignment horizontal="right" vertical="center"/>
    </xf>
    <xf numFmtId="3" fontId="20" fillId="0" borderId="68" xfId="4" applyNumberFormat="1" applyFont="1" applyBorder="1" applyAlignment="1">
      <alignment horizontal="right" vertical="center"/>
    </xf>
    <xf numFmtId="3" fontId="20" fillId="0" borderId="65" xfId="0" applyNumberFormat="1" applyFont="1" applyBorder="1" applyAlignment="1">
      <alignment horizontal="right"/>
    </xf>
    <xf numFmtId="3" fontId="20" fillId="0" borderId="77" xfId="0" applyNumberFormat="1" applyFont="1" applyBorder="1" applyAlignment="1">
      <alignment horizontal="right"/>
    </xf>
    <xf numFmtId="3" fontId="20" fillId="0" borderId="66" xfId="0" applyNumberFormat="1" applyFont="1" applyBorder="1" applyAlignment="1">
      <alignment horizontal="right"/>
    </xf>
    <xf numFmtId="3" fontId="20" fillId="0" borderId="74" xfId="0" applyNumberFormat="1" applyFont="1" applyBorder="1" applyAlignment="1">
      <alignment horizontal="right"/>
    </xf>
    <xf numFmtId="3" fontId="20" fillId="0" borderId="70" xfId="4" applyNumberFormat="1" applyFont="1" applyBorder="1" applyAlignment="1">
      <alignment horizontal="right" vertical="center"/>
    </xf>
    <xf numFmtId="3" fontId="20" fillId="0" borderId="65" xfId="0" applyNumberFormat="1" applyFont="1" applyBorder="1" applyAlignment="1">
      <alignment horizontal="right" vertical="center"/>
    </xf>
    <xf numFmtId="3" fontId="20" fillId="0" borderId="75" xfId="0" applyNumberFormat="1" applyFont="1" applyBorder="1" applyAlignment="1">
      <alignment horizontal="right" vertical="center"/>
    </xf>
    <xf numFmtId="3" fontId="20" fillId="0" borderId="67" xfId="0" applyNumberFormat="1" applyFont="1" applyBorder="1" applyAlignment="1">
      <alignment horizontal="right" vertical="center"/>
    </xf>
    <xf numFmtId="3" fontId="20" fillId="0" borderId="62" xfId="4" applyNumberFormat="1" applyFont="1" applyBorder="1" applyAlignment="1">
      <alignment horizontal="right"/>
    </xf>
    <xf numFmtId="3" fontId="1" fillId="0" borderId="62" xfId="4" applyNumberFormat="1" applyFont="1" applyBorder="1" applyAlignment="1">
      <alignment horizontal="right"/>
    </xf>
    <xf numFmtId="166" fontId="20" fillId="0" borderId="65" xfId="4" applyNumberFormat="1" applyFont="1" applyBorder="1" applyAlignment="1">
      <alignment horizontal="right" vertical="center"/>
    </xf>
    <xf numFmtId="3" fontId="16" fillId="6" borderId="70" xfId="4" applyNumberFormat="1" applyFont="1" applyFill="1" applyBorder="1" applyAlignment="1">
      <alignment horizontal="right"/>
    </xf>
    <xf numFmtId="3" fontId="16" fillId="10" borderId="70" xfId="4" applyNumberFormat="1" applyFont="1" applyFill="1" applyBorder="1" applyAlignment="1">
      <alignment horizontal="right"/>
    </xf>
    <xf numFmtId="3" fontId="16" fillId="16" borderId="70" xfId="4" applyNumberFormat="1" applyFont="1" applyFill="1" applyBorder="1" applyAlignment="1">
      <alignment horizontal="right"/>
    </xf>
    <xf numFmtId="3" fontId="16" fillId="17" borderId="16" xfId="4" applyNumberFormat="1" applyFont="1" applyFill="1" applyBorder="1" applyAlignment="1">
      <alignment horizontal="right"/>
    </xf>
    <xf numFmtId="3" fontId="16" fillId="0" borderId="0" xfId="4" applyNumberFormat="1" applyFont="1" applyAlignment="1">
      <alignment horizontal="right"/>
    </xf>
    <xf numFmtId="165" fontId="1" fillId="0" borderId="47" xfId="1" applyNumberFormat="1" applyFont="1" applyBorder="1" applyAlignment="1">
      <alignment horizontal="right" wrapText="1"/>
    </xf>
    <xf numFmtId="165" fontId="1" fillId="9" borderId="47" xfId="1" applyNumberFormat="1" applyFont="1" applyFill="1" applyBorder="1" applyAlignment="1">
      <alignment horizontal="right" vertical="center" wrapText="1"/>
    </xf>
    <xf numFmtId="165" fontId="1" fillId="14" borderId="47" xfId="1" applyNumberFormat="1" applyFont="1" applyFill="1" applyBorder="1" applyAlignment="1">
      <alignment horizontal="right" wrapText="1"/>
    </xf>
    <xf numFmtId="165" fontId="1" fillId="23" borderId="47" xfId="1" applyNumberFormat="1" applyFont="1" applyFill="1" applyBorder="1" applyAlignment="1">
      <alignment horizontal="right" wrapText="1"/>
    </xf>
    <xf numFmtId="165" fontId="18" fillId="22" borderId="47" xfId="1" applyNumberFormat="1" applyFont="1" applyFill="1" applyBorder="1" applyAlignment="1">
      <alignment horizontal="right" wrapText="1"/>
    </xf>
    <xf numFmtId="165" fontId="1" fillId="0" borderId="49" xfId="1" applyNumberFormat="1" applyFont="1" applyBorder="1" applyAlignment="1">
      <alignment horizontal="right" wrapText="1"/>
    </xf>
    <xf numFmtId="3" fontId="20" fillId="0" borderId="23" xfId="4" applyNumberFormat="1" applyFont="1" applyBorder="1" applyAlignment="1">
      <alignment horizontal="right" vertical="center"/>
    </xf>
    <xf numFmtId="3" fontId="20" fillId="0" borderId="49" xfId="4" applyNumberFormat="1" applyFont="1" applyBorder="1" applyAlignment="1">
      <alignment horizontal="right" vertical="center"/>
    </xf>
    <xf numFmtId="3" fontId="1" fillId="0" borderId="47" xfId="4" applyNumberFormat="1" applyFont="1" applyBorder="1" applyAlignment="1">
      <alignment horizontal="right" vertical="center"/>
    </xf>
    <xf numFmtId="3" fontId="20" fillId="0" borderId="38" xfId="4" applyNumberFormat="1" applyFont="1" applyBorder="1" applyAlignment="1">
      <alignment horizontal="right" vertical="center"/>
    </xf>
    <xf numFmtId="3" fontId="1" fillId="0" borderId="47" xfId="0" applyNumberFormat="1" applyFont="1" applyBorder="1" applyAlignment="1">
      <alignment horizontal="right"/>
    </xf>
    <xf numFmtId="3" fontId="1" fillId="0" borderId="64" xfId="0" applyNumberFormat="1" applyFont="1" applyBorder="1" applyAlignment="1">
      <alignment horizontal="right"/>
    </xf>
    <xf numFmtId="3" fontId="20" fillId="0" borderId="39" xfId="0" applyNumberFormat="1" applyFont="1" applyBorder="1" applyAlignment="1">
      <alignment horizontal="right" vertical="center"/>
    </xf>
    <xf numFmtId="3" fontId="20" fillId="0" borderId="43" xfId="0" applyNumberFormat="1" applyFont="1" applyBorder="1" applyAlignment="1">
      <alignment horizontal="right" vertical="center"/>
    </xf>
    <xf numFmtId="3" fontId="20" fillId="24" borderId="39" xfId="10" applyNumberFormat="1" applyFont="1" applyFill="1" applyBorder="1" applyAlignment="1">
      <alignment horizontal="right" vertical="center"/>
    </xf>
    <xf numFmtId="3" fontId="1" fillId="21" borderId="23" xfId="4" applyNumberFormat="1" applyFont="1" applyFill="1" applyBorder="1" applyAlignment="1">
      <alignment horizontal="right"/>
    </xf>
    <xf numFmtId="3" fontId="16" fillId="17" borderId="70" xfId="4" applyNumberFormat="1" applyFont="1" applyFill="1" applyBorder="1" applyAlignment="1">
      <alignment horizontal="right"/>
    </xf>
    <xf numFmtId="3" fontId="20" fillId="0" borderId="47" xfId="1" applyNumberFormat="1" applyFont="1" applyBorder="1" applyAlignment="1">
      <alignment horizontal="right" wrapText="1"/>
    </xf>
    <xf numFmtId="3" fontId="18" fillId="0" borderId="47" xfId="1" applyNumberFormat="1" applyFont="1" applyBorder="1" applyAlignment="1">
      <alignment horizontal="right" wrapText="1"/>
    </xf>
    <xf numFmtId="3" fontId="1" fillId="0" borderId="65" xfId="4" applyNumberFormat="1" applyFont="1" applyBorder="1" applyAlignment="1">
      <alignment horizontal="right"/>
    </xf>
    <xf numFmtId="3" fontId="20" fillId="0" borderId="63" xfId="4" applyNumberFormat="1" applyFont="1" applyBorder="1" applyAlignment="1">
      <alignment horizontal="right"/>
    </xf>
    <xf numFmtId="3" fontId="20" fillId="0" borderId="73" xfId="4" applyNumberFormat="1" applyFont="1" applyBorder="1" applyAlignment="1">
      <alignment horizontal="right"/>
    </xf>
    <xf numFmtId="3" fontId="20" fillId="14" borderId="47" xfId="0" applyNumberFormat="1" applyFont="1" applyFill="1" applyBorder="1" applyAlignment="1">
      <alignment horizontal="right" vertical="center"/>
    </xf>
    <xf numFmtId="3" fontId="20" fillId="0" borderId="65" xfId="4" applyNumberFormat="1" applyFont="1" applyBorder="1" applyAlignment="1">
      <alignment horizontal="right"/>
    </xf>
    <xf numFmtId="3" fontId="20" fillId="24" borderId="47" xfId="10" applyNumberFormat="1" applyFont="1" applyFill="1" applyBorder="1" applyAlignment="1">
      <alignment horizontal="right" vertical="center"/>
    </xf>
    <xf numFmtId="3" fontId="20" fillId="14" borderId="47" xfId="4" applyNumberFormat="1" applyFont="1" applyFill="1" applyBorder="1" applyAlignment="1">
      <alignment horizontal="right"/>
    </xf>
    <xf numFmtId="0" fontId="24" fillId="6" borderId="43" xfId="0" applyFont="1" applyFill="1" applyBorder="1" applyAlignment="1">
      <alignment horizontal="center" vertical="center" wrapText="1"/>
    </xf>
    <xf numFmtId="0" fontId="24" fillId="6" borderId="37" xfId="0" applyFont="1" applyFill="1" applyBorder="1" applyAlignment="1">
      <alignment horizontal="center" vertical="center" wrapText="1"/>
    </xf>
    <xf numFmtId="0" fontId="24" fillId="6" borderId="75" xfId="0" applyFont="1" applyFill="1" applyBorder="1" applyAlignment="1">
      <alignment horizontal="center" vertical="center" wrapText="1"/>
    </xf>
    <xf numFmtId="0" fontId="37" fillId="24" borderId="15" xfId="0" applyFont="1" applyFill="1" applyBorder="1" applyAlignment="1">
      <alignment horizontal="center" vertical="center" wrapText="1"/>
    </xf>
    <xf numFmtId="0" fontId="37" fillId="24" borderId="16" xfId="0" applyFont="1" applyFill="1" applyBorder="1" applyAlignment="1">
      <alignment horizontal="center" vertical="center" wrapText="1"/>
    </xf>
    <xf numFmtId="0" fontId="37" fillId="24" borderId="70" xfId="0" applyFont="1" applyFill="1" applyBorder="1" applyAlignment="1">
      <alignment horizontal="center" vertical="center" wrapText="1"/>
    </xf>
    <xf numFmtId="0" fontId="24" fillId="6" borderId="15" xfId="0" applyFont="1" applyFill="1" applyBorder="1" applyAlignment="1">
      <alignment horizontal="center" vertical="center" wrapText="1"/>
    </xf>
    <xf numFmtId="0" fontId="24" fillId="6" borderId="16" xfId="0" applyFont="1" applyFill="1" applyBorder="1" applyAlignment="1">
      <alignment horizontal="center" vertical="center" wrapText="1"/>
    </xf>
    <xf numFmtId="0" fontId="24" fillId="6" borderId="70" xfId="0" applyFont="1" applyFill="1" applyBorder="1" applyAlignment="1">
      <alignment horizontal="center" vertical="center" wrapText="1"/>
    </xf>
    <xf numFmtId="3" fontId="22" fillId="8" borderId="30" xfId="0" applyNumberFormat="1" applyFont="1" applyFill="1" applyBorder="1" applyAlignment="1">
      <alignment horizontal="center" vertical="center"/>
    </xf>
    <xf numFmtId="3" fontId="22" fillId="8" borderId="67" xfId="0" applyNumberFormat="1" applyFont="1" applyFill="1" applyBorder="1" applyAlignment="1">
      <alignment horizontal="center" vertical="center"/>
    </xf>
    <xf numFmtId="3" fontId="22" fillId="8" borderId="30" xfId="0" applyNumberFormat="1" applyFont="1" applyFill="1" applyBorder="1" applyAlignment="1">
      <alignment horizontal="right" vertical="center"/>
    </xf>
    <xf numFmtId="3" fontId="22" fillId="8" borderId="67" xfId="0" applyNumberFormat="1" applyFont="1" applyFill="1" applyBorder="1" applyAlignment="1">
      <alignment horizontal="right" vertical="center"/>
    </xf>
    <xf numFmtId="3" fontId="22" fillId="12" borderId="30" xfId="0" applyNumberFormat="1" applyFont="1" applyFill="1" applyBorder="1" applyAlignment="1">
      <alignment horizontal="right" vertical="center"/>
    </xf>
    <xf numFmtId="3" fontId="22" fillId="12" borderId="67" xfId="0" applyNumberFormat="1" applyFont="1" applyFill="1" applyBorder="1" applyAlignment="1">
      <alignment horizontal="right" vertical="center"/>
    </xf>
    <xf numFmtId="0" fontId="21" fillId="5" borderId="30" xfId="0" applyFont="1" applyFill="1" applyBorder="1" applyAlignment="1">
      <alignment horizontal="center" vertical="center" wrapText="1"/>
    </xf>
    <xf numFmtId="0" fontId="21" fillId="5" borderId="49" xfId="0" applyFont="1" applyFill="1" applyBorder="1" applyAlignment="1">
      <alignment horizontal="center" vertical="center" wrapText="1"/>
    </xf>
    <xf numFmtId="0" fontId="21" fillId="5" borderId="67" xfId="0" applyFont="1" applyFill="1" applyBorder="1" applyAlignment="1">
      <alignment horizontal="center" vertical="center" wrapText="1"/>
    </xf>
    <xf numFmtId="0" fontId="24" fillId="11" borderId="28" xfId="0" applyFont="1" applyFill="1" applyBorder="1" applyAlignment="1">
      <alignment horizontal="center" vertical="center" wrapText="1"/>
    </xf>
    <xf numFmtId="0" fontId="24" fillId="11" borderId="29" xfId="0" applyFont="1" applyFill="1" applyBorder="1" applyAlignment="1">
      <alignment horizontal="center" vertical="center" wrapText="1"/>
    </xf>
    <xf numFmtId="0" fontId="24" fillId="11" borderId="72" xfId="0" applyFont="1" applyFill="1" applyBorder="1" applyAlignment="1">
      <alignment horizontal="center" vertical="center" wrapText="1"/>
    </xf>
    <xf numFmtId="0" fontId="24" fillId="11" borderId="43" xfId="0" applyFont="1" applyFill="1" applyBorder="1" applyAlignment="1">
      <alignment horizontal="center" vertical="center" wrapText="1"/>
    </xf>
    <xf numFmtId="0" fontId="24" fillId="11" borderId="37" xfId="0" applyFont="1" applyFill="1" applyBorder="1" applyAlignment="1">
      <alignment horizontal="center" vertical="center" wrapText="1"/>
    </xf>
    <xf numFmtId="0" fontId="24" fillId="11" borderId="75" xfId="0" applyFont="1" applyFill="1" applyBorder="1" applyAlignment="1">
      <alignment horizontal="center" vertical="center" wrapText="1"/>
    </xf>
    <xf numFmtId="0" fontId="21" fillId="3" borderId="15" xfId="2" applyFont="1" applyFill="1" applyBorder="1" applyAlignment="1">
      <alignment horizontal="left" wrapText="1"/>
    </xf>
    <xf numFmtId="0" fontId="21" fillId="3" borderId="16" xfId="2" applyFont="1" applyFill="1" applyBorder="1" applyAlignment="1">
      <alignment horizontal="left" wrapText="1"/>
    </xf>
    <xf numFmtId="0" fontId="38" fillId="19" borderId="15" xfId="4" applyFont="1" applyFill="1" applyBorder="1" applyAlignment="1">
      <alignment horizontal="center" vertical="center"/>
    </xf>
    <xf numFmtId="0" fontId="38" fillId="19" borderId="16" xfId="4" applyFont="1" applyFill="1" applyBorder="1" applyAlignment="1">
      <alignment horizontal="center" vertical="center"/>
    </xf>
    <xf numFmtId="0" fontId="38" fillId="19" borderId="70" xfId="4" applyFont="1" applyFill="1" applyBorder="1" applyAlignment="1">
      <alignment horizontal="center" vertical="center"/>
    </xf>
    <xf numFmtId="0" fontId="22" fillId="7" borderId="59" xfId="2" applyFont="1" applyFill="1" applyBorder="1" applyAlignment="1">
      <alignment horizontal="left"/>
    </xf>
    <xf numFmtId="0" fontId="22" fillId="7" borderId="40" xfId="2" applyFont="1" applyFill="1" applyBorder="1" applyAlignment="1">
      <alignment horizontal="left"/>
    </xf>
    <xf numFmtId="0" fontId="22" fillId="7" borderId="39" xfId="2" applyFont="1" applyFill="1" applyBorder="1" applyAlignment="1">
      <alignment horizontal="left"/>
    </xf>
    <xf numFmtId="0" fontId="22" fillId="7" borderId="5" xfId="2" applyFont="1" applyFill="1" applyBorder="1" applyAlignment="1">
      <alignment horizontal="left"/>
    </xf>
    <xf numFmtId="1" fontId="32" fillId="19" borderId="15" xfId="2" applyNumberFormat="1" applyFont="1" applyFill="1" applyBorder="1" applyAlignment="1">
      <alignment horizontal="center" vertical="center" wrapText="1"/>
    </xf>
    <xf numFmtId="1" fontId="32" fillId="19" borderId="16" xfId="2" applyNumberFormat="1" applyFont="1" applyFill="1" applyBorder="1" applyAlignment="1">
      <alignment horizontal="center" vertical="center" wrapText="1"/>
    </xf>
    <xf numFmtId="1" fontId="32" fillId="19" borderId="70" xfId="2" applyNumberFormat="1" applyFont="1" applyFill="1" applyBorder="1" applyAlignment="1">
      <alignment horizontal="center" vertical="center" wrapText="1"/>
    </xf>
    <xf numFmtId="3" fontId="16" fillId="12" borderId="30" xfId="4" applyNumberFormat="1" applyFont="1" applyFill="1" applyBorder="1" applyAlignment="1">
      <alignment horizontal="right" vertical="center"/>
    </xf>
    <xf numFmtId="3" fontId="16" fillId="12" borderId="67" xfId="4" applyNumberFormat="1" applyFont="1" applyFill="1" applyBorder="1" applyAlignment="1">
      <alignment horizontal="right" vertical="center"/>
    </xf>
    <xf numFmtId="3" fontId="16" fillId="8" borderId="30" xfId="4" applyNumberFormat="1" applyFont="1" applyFill="1" applyBorder="1" applyAlignment="1">
      <alignment horizontal="right" vertical="center"/>
    </xf>
    <xf numFmtId="3" fontId="16" fillId="8" borderId="67" xfId="4" applyNumberFormat="1" applyFont="1" applyFill="1" applyBorder="1" applyAlignment="1">
      <alignment horizontal="right" vertical="center"/>
    </xf>
  </cellXfs>
  <cellStyles count="11">
    <cellStyle name="Čárka" xfId="1" builtinId="3"/>
    <cellStyle name="Normální" xfId="0" builtinId="0"/>
    <cellStyle name="Normální 2" xfId="2" xr:uid="{0DF5C408-2D05-49C6-82B6-D8F621F6B8E9}"/>
    <cellStyle name="Normální 2 3" xfId="3" xr:uid="{8F5F5042-7533-48EE-8882-FDE36E0DAF77}"/>
    <cellStyle name="Normální 3" xfId="4" xr:uid="{C4EEAA13-FDA4-4A6B-9917-82A6EDD194A6}"/>
    <cellStyle name="Normální 3 2" xfId="10" xr:uid="{07DBBA18-9E25-4F2D-82E8-366C4BA9C4B8}"/>
    <cellStyle name="Normální 3 2 2" xfId="5" xr:uid="{744899E3-F0E3-4AC0-89FF-E69050F918E8}"/>
    <cellStyle name="Normální 3 3" xfId="6" xr:uid="{FAD2E5D0-3BEA-4E8C-8462-11460EC43FDE}"/>
    <cellStyle name="normální_VaV -17" xfId="9" xr:uid="{A5E05808-45BD-4277-BB82-5474B1B28E66}"/>
    <cellStyle name="Procenta" xfId="7" builtinId="5"/>
    <cellStyle name="Procenta 2" xfId="8" xr:uid="{BEEC50FE-8172-4F42-9000-438C6E1F3B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BFD6E-E87E-48EA-AD88-3B41941BD40F}">
  <sheetPr>
    <pageSetUpPr fitToPage="1"/>
  </sheetPr>
  <dimension ref="A1:BO33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X15" sqref="AX15"/>
    </sheetView>
  </sheetViews>
  <sheetFormatPr defaultRowHeight="12.75" x14ac:dyDescent="0.2"/>
  <cols>
    <col min="1" max="1" width="13.42578125" customWidth="1"/>
    <col min="2" max="4" width="14.7109375" customWidth="1"/>
    <col min="5" max="5" width="0.5703125" customWidth="1"/>
    <col min="6" max="8" width="14.7109375" customWidth="1"/>
    <col min="9" max="9" width="13.5703125" customWidth="1"/>
    <col min="10" max="10" width="13.5703125" hidden="1" customWidth="1"/>
    <col min="11" max="13" width="14.7109375" customWidth="1"/>
    <col min="14" max="14" width="13.5703125" customWidth="1"/>
    <col min="15" max="15" width="13.5703125" hidden="1" customWidth="1"/>
    <col min="16" max="18" width="14.7109375" customWidth="1"/>
    <col min="19" max="21" width="13.5703125" customWidth="1"/>
    <col min="22" max="22" width="0.42578125" customWidth="1"/>
    <col min="23" max="23" width="14.7109375" customWidth="1"/>
    <col min="24" max="25" width="14.7109375" hidden="1" customWidth="1"/>
    <col min="26" max="27" width="14.7109375" customWidth="1"/>
    <col min="28" max="28" width="13.5703125" customWidth="1"/>
    <col min="29" max="29" width="13.5703125" hidden="1" customWidth="1"/>
    <col min="30" max="30" width="14.7109375" customWidth="1"/>
    <col min="31" max="32" width="14.7109375" hidden="1" customWidth="1"/>
    <col min="33" max="34" width="14.7109375" customWidth="1"/>
    <col min="35" max="35" width="13.5703125" customWidth="1"/>
    <col min="36" max="36" width="13.5703125" hidden="1" customWidth="1"/>
    <col min="37" max="37" width="14.7109375" customWidth="1"/>
    <col min="38" max="39" width="14.7109375" hidden="1" customWidth="1"/>
    <col min="40" max="41" width="14.7109375" customWidth="1"/>
    <col min="42" max="43" width="13.5703125" customWidth="1"/>
    <col min="44" max="44" width="0.42578125" customWidth="1"/>
    <col min="45" max="45" width="14.7109375" customWidth="1"/>
    <col min="46" max="47" width="14.7109375" hidden="1" customWidth="1"/>
    <col min="48" max="49" width="14.7109375" customWidth="1"/>
    <col min="50" max="50" width="13.5703125" customWidth="1"/>
    <col min="51" max="51" width="14.7109375" hidden="1" customWidth="1"/>
    <col min="52" max="52" width="14.7109375" customWidth="1"/>
    <col min="53" max="54" width="14.7109375" hidden="1" customWidth="1"/>
    <col min="55" max="56" width="14.7109375" customWidth="1"/>
    <col min="57" max="57" width="13.5703125" customWidth="1"/>
    <col min="58" max="58" width="13.5703125" hidden="1" customWidth="1"/>
    <col min="59" max="59" width="14.7109375" customWidth="1"/>
    <col min="60" max="61" width="14.7109375" hidden="1" customWidth="1"/>
    <col min="62" max="63" width="14.7109375" customWidth="1"/>
    <col min="64" max="64" width="13.5703125" customWidth="1"/>
    <col min="65" max="65" width="14.7109375" customWidth="1"/>
    <col min="67" max="67" width="11.28515625" bestFit="1" customWidth="1"/>
  </cols>
  <sheetData>
    <row r="1" spans="1:67" x14ac:dyDescent="0.2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</row>
    <row r="2" spans="1:67" ht="18.75" x14ac:dyDescent="0.3">
      <c r="A2" s="100" t="s">
        <v>168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</row>
    <row r="3" spans="1:67" ht="15.75" x14ac:dyDescent="0.25">
      <c r="A3" s="101" t="s">
        <v>59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</row>
    <row r="4" spans="1:67" ht="9.75" customHeight="1" thickBot="1" x14ac:dyDescent="0.3">
      <c r="A4" s="101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</row>
    <row r="5" spans="1:67" ht="8.25" customHeight="1" thickBot="1" x14ac:dyDescent="0.3">
      <c r="A5" s="102"/>
      <c r="B5" s="102"/>
      <c r="C5" s="102"/>
      <c r="D5" s="125"/>
      <c r="E5" s="204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25"/>
      <c r="Q5" s="125"/>
      <c r="R5" s="125"/>
      <c r="S5" s="125"/>
      <c r="T5" s="125"/>
      <c r="U5" s="125"/>
      <c r="V5" s="204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25"/>
      <c r="AL5" s="125"/>
      <c r="AM5" s="125"/>
      <c r="AN5" s="125"/>
      <c r="AO5" s="125"/>
      <c r="AP5" s="125"/>
      <c r="AQ5" s="125"/>
      <c r="AR5" s="204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25"/>
      <c r="BH5" s="125"/>
      <c r="BI5" s="125"/>
      <c r="BJ5" s="125"/>
      <c r="BK5" s="102"/>
      <c r="BL5" s="102"/>
      <c r="BM5" s="102"/>
    </row>
    <row r="6" spans="1:67" s="173" customFormat="1" ht="28.5" customHeight="1" thickBot="1" x14ac:dyDescent="0.35">
      <c r="A6" s="611" t="s">
        <v>83</v>
      </c>
      <c r="B6" s="614" t="s">
        <v>143</v>
      </c>
      <c r="C6" s="615"/>
      <c r="D6" s="616"/>
      <c r="E6" s="205"/>
      <c r="F6" s="599">
        <v>2026</v>
      </c>
      <c r="G6" s="600"/>
      <c r="H6" s="600"/>
      <c r="I6" s="600"/>
      <c r="J6" s="600"/>
      <c r="K6" s="600"/>
      <c r="L6" s="600"/>
      <c r="M6" s="600"/>
      <c r="N6" s="600"/>
      <c r="O6" s="600"/>
      <c r="P6" s="600"/>
      <c r="Q6" s="600"/>
      <c r="R6" s="600"/>
      <c r="S6" s="600"/>
      <c r="T6" s="600"/>
      <c r="U6" s="424"/>
      <c r="V6" s="212"/>
      <c r="W6" s="599">
        <v>2027</v>
      </c>
      <c r="X6" s="600"/>
      <c r="Y6" s="600"/>
      <c r="Z6" s="600"/>
      <c r="AA6" s="600"/>
      <c r="AB6" s="600"/>
      <c r="AC6" s="600"/>
      <c r="AD6" s="600"/>
      <c r="AE6" s="600"/>
      <c r="AF6" s="600"/>
      <c r="AG6" s="600"/>
      <c r="AH6" s="600"/>
      <c r="AI6" s="600"/>
      <c r="AJ6" s="600"/>
      <c r="AK6" s="600"/>
      <c r="AL6" s="600"/>
      <c r="AM6" s="600"/>
      <c r="AN6" s="600"/>
      <c r="AO6" s="600"/>
      <c r="AP6" s="600"/>
      <c r="AQ6" s="600"/>
      <c r="AR6" s="206"/>
      <c r="AS6" s="599">
        <v>2028</v>
      </c>
      <c r="AT6" s="600"/>
      <c r="AU6" s="600"/>
      <c r="AV6" s="600"/>
      <c r="AW6" s="600"/>
      <c r="AX6" s="600"/>
      <c r="AY6" s="600"/>
      <c r="AZ6" s="600"/>
      <c r="BA6" s="600"/>
      <c r="BB6" s="600"/>
      <c r="BC6" s="600"/>
      <c r="BD6" s="600"/>
      <c r="BE6" s="600"/>
      <c r="BF6" s="600"/>
      <c r="BG6" s="600"/>
      <c r="BH6" s="600"/>
      <c r="BI6" s="600"/>
      <c r="BJ6" s="600"/>
      <c r="BK6" s="600"/>
      <c r="BL6" s="600"/>
      <c r="BM6" s="601"/>
    </row>
    <row r="7" spans="1:67" s="173" customFormat="1" ht="28.5" customHeight="1" thickBot="1" x14ac:dyDescent="0.35">
      <c r="A7" s="612"/>
      <c r="B7" s="617"/>
      <c r="C7" s="618"/>
      <c r="D7" s="619"/>
      <c r="E7" s="206"/>
      <c r="F7" s="602" t="s">
        <v>84</v>
      </c>
      <c r="G7" s="603"/>
      <c r="H7" s="603"/>
      <c r="I7" s="603"/>
      <c r="J7" s="604"/>
      <c r="K7" s="602" t="s">
        <v>139</v>
      </c>
      <c r="L7" s="603"/>
      <c r="M7" s="603"/>
      <c r="N7" s="603"/>
      <c r="O7" s="604"/>
      <c r="P7" s="602" t="s">
        <v>140</v>
      </c>
      <c r="Q7" s="603"/>
      <c r="R7" s="603"/>
      <c r="S7" s="603"/>
      <c r="T7" s="603"/>
      <c r="U7" s="413"/>
      <c r="V7" s="206"/>
      <c r="W7" s="602" t="s">
        <v>84</v>
      </c>
      <c r="X7" s="603"/>
      <c r="Y7" s="603"/>
      <c r="Z7" s="603"/>
      <c r="AA7" s="603"/>
      <c r="AB7" s="603"/>
      <c r="AC7" s="604"/>
      <c r="AD7" s="602" t="s">
        <v>139</v>
      </c>
      <c r="AE7" s="603"/>
      <c r="AF7" s="603"/>
      <c r="AG7" s="603"/>
      <c r="AH7" s="603"/>
      <c r="AI7" s="603"/>
      <c r="AJ7" s="604"/>
      <c r="AK7" s="602" t="s">
        <v>140</v>
      </c>
      <c r="AL7" s="603"/>
      <c r="AM7" s="603"/>
      <c r="AN7" s="603"/>
      <c r="AO7" s="603"/>
      <c r="AP7" s="603"/>
      <c r="AQ7" s="603"/>
      <c r="AR7" s="206"/>
      <c r="AS7" s="596" t="s">
        <v>84</v>
      </c>
      <c r="AT7" s="597"/>
      <c r="AU7" s="597"/>
      <c r="AV7" s="597"/>
      <c r="AW7" s="597"/>
      <c r="AX7" s="597"/>
      <c r="AY7" s="598"/>
      <c r="AZ7" s="596" t="s">
        <v>139</v>
      </c>
      <c r="BA7" s="597"/>
      <c r="BB7" s="597"/>
      <c r="BC7" s="597"/>
      <c r="BD7" s="597"/>
      <c r="BE7" s="597"/>
      <c r="BF7" s="598"/>
      <c r="BG7" s="602" t="s">
        <v>140</v>
      </c>
      <c r="BH7" s="603"/>
      <c r="BI7" s="603"/>
      <c r="BJ7" s="603"/>
      <c r="BK7" s="603"/>
      <c r="BL7" s="603"/>
      <c r="BM7" s="604"/>
    </row>
    <row r="8" spans="1:67" s="99" customFormat="1" ht="69.75" customHeight="1" thickBot="1" x14ac:dyDescent="0.25">
      <c r="A8" s="613"/>
      <c r="B8" s="141" t="s">
        <v>84</v>
      </c>
      <c r="C8" s="172" t="s">
        <v>96</v>
      </c>
      <c r="D8" s="199" t="s">
        <v>85</v>
      </c>
      <c r="E8" s="206"/>
      <c r="F8" s="405" t="s">
        <v>229</v>
      </c>
      <c r="G8" s="478" t="s">
        <v>230</v>
      </c>
      <c r="H8" s="479" t="s">
        <v>231</v>
      </c>
      <c r="I8" s="480" t="s">
        <v>198</v>
      </c>
      <c r="J8" s="478" t="s">
        <v>199</v>
      </c>
      <c r="K8" s="193" t="s">
        <v>232</v>
      </c>
      <c r="L8" s="478" t="s">
        <v>233</v>
      </c>
      <c r="M8" s="479" t="s">
        <v>234</v>
      </c>
      <c r="N8" s="480" t="s">
        <v>198</v>
      </c>
      <c r="O8" s="478" t="s">
        <v>199</v>
      </c>
      <c r="P8" s="193" t="s">
        <v>200</v>
      </c>
      <c r="Q8" s="478" t="s">
        <v>209</v>
      </c>
      <c r="R8" s="481" t="s">
        <v>235</v>
      </c>
      <c r="S8" s="480" t="s">
        <v>198</v>
      </c>
      <c r="T8" s="478" t="s">
        <v>199</v>
      </c>
      <c r="U8" s="482" t="s">
        <v>224</v>
      </c>
      <c r="V8" s="206"/>
      <c r="W8" s="405" t="s">
        <v>236</v>
      </c>
      <c r="X8" s="198" t="s">
        <v>141</v>
      </c>
      <c r="Y8" s="484" t="s">
        <v>157</v>
      </c>
      <c r="Z8" s="478" t="s">
        <v>237</v>
      </c>
      <c r="AA8" s="479" t="s">
        <v>238</v>
      </c>
      <c r="AB8" s="480" t="s">
        <v>198</v>
      </c>
      <c r="AC8" s="478" t="s">
        <v>199</v>
      </c>
      <c r="AD8" s="193" t="s">
        <v>239</v>
      </c>
      <c r="AE8" s="289" t="s">
        <v>141</v>
      </c>
      <c r="AF8" s="484" t="s">
        <v>157</v>
      </c>
      <c r="AG8" s="478" t="s">
        <v>240</v>
      </c>
      <c r="AH8" s="479" t="s">
        <v>241</v>
      </c>
      <c r="AI8" s="480" t="s">
        <v>198</v>
      </c>
      <c r="AJ8" s="478" t="s">
        <v>199</v>
      </c>
      <c r="AK8" s="193" t="s">
        <v>201</v>
      </c>
      <c r="AL8" s="214" t="s">
        <v>142</v>
      </c>
      <c r="AM8" s="484" t="s">
        <v>165</v>
      </c>
      <c r="AN8" s="478" t="s">
        <v>209</v>
      </c>
      <c r="AO8" s="481" t="s">
        <v>216</v>
      </c>
      <c r="AP8" s="480" t="s">
        <v>198</v>
      </c>
      <c r="AQ8" s="478" t="s">
        <v>199</v>
      </c>
      <c r="AR8" s="206"/>
      <c r="AS8" s="405" t="s">
        <v>242</v>
      </c>
      <c r="AT8" s="198" t="s">
        <v>141</v>
      </c>
      <c r="AU8" s="484" t="s">
        <v>157</v>
      </c>
      <c r="AV8" s="478" t="s">
        <v>237</v>
      </c>
      <c r="AW8" s="479" t="s">
        <v>238</v>
      </c>
      <c r="AX8" s="480" t="s">
        <v>222</v>
      </c>
      <c r="AY8" s="478" t="s">
        <v>199</v>
      </c>
      <c r="AZ8" s="193" t="s">
        <v>243</v>
      </c>
      <c r="BA8" s="289" t="s">
        <v>141</v>
      </c>
      <c r="BB8" s="484" t="s">
        <v>157</v>
      </c>
      <c r="BC8" s="478" t="s">
        <v>240</v>
      </c>
      <c r="BD8" s="479" t="s">
        <v>241</v>
      </c>
      <c r="BE8" s="480" t="s">
        <v>222</v>
      </c>
      <c r="BF8" s="478" t="s">
        <v>199</v>
      </c>
      <c r="BG8" s="193" t="s">
        <v>164</v>
      </c>
      <c r="BH8" s="214" t="s">
        <v>142</v>
      </c>
      <c r="BI8" s="485" t="s">
        <v>165</v>
      </c>
      <c r="BJ8" s="486" t="s">
        <v>209</v>
      </c>
      <c r="BK8" s="481" t="s">
        <v>216</v>
      </c>
      <c r="BL8" s="487" t="s">
        <v>222</v>
      </c>
      <c r="BM8" s="486" t="s">
        <v>199</v>
      </c>
    </row>
    <row r="9" spans="1:67" s="102" customFormat="1" ht="15.75" customHeight="1" x14ac:dyDescent="0.25">
      <c r="A9" s="117" t="s">
        <v>97</v>
      </c>
      <c r="B9" s="105">
        <f>'B. Institucionální podpora'!D9</f>
        <v>69964282</v>
      </c>
      <c r="C9" s="123">
        <f>'C. Účelová podpora'!D8</f>
        <v>0</v>
      </c>
      <c r="D9" s="200">
        <f t="shared" ref="D9:D24" si="0">B9+C9</f>
        <v>69964282</v>
      </c>
      <c r="E9" s="207"/>
      <c r="F9" s="409">
        <f>'B. Institucionální podpora'!F9</f>
        <v>69964282</v>
      </c>
      <c r="G9" s="365">
        <f>'B. Institucionální podpora'!I9</f>
        <v>79964282</v>
      </c>
      <c r="H9" s="416">
        <f>'B. Institucionální podpora'!J9</f>
        <v>69964282</v>
      </c>
      <c r="I9" s="429">
        <f t="shared" ref="I9:I24" si="1">H9-F9</f>
        <v>0</v>
      </c>
      <c r="J9" s="362">
        <f>H9-G9</f>
        <v>-10000000</v>
      </c>
      <c r="K9" s="406">
        <f>'C. Účelová podpora'!F8</f>
        <v>0</v>
      </c>
      <c r="L9" s="365">
        <f>'C. Účelová podpora'!I8</f>
        <v>0</v>
      </c>
      <c r="M9" s="381">
        <f>'C. Účelová podpora'!J8</f>
        <v>0</v>
      </c>
      <c r="N9" s="447">
        <f>M9-K9</f>
        <v>0</v>
      </c>
      <c r="O9" s="367">
        <f>M9-L9</f>
        <v>0</v>
      </c>
      <c r="P9" s="194">
        <f t="shared" ref="P9:P24" si="2">F9+K9</f>
        <v>69964282</v>
      </c>
      <c r="Q9" s="368">
        <f t="shared" ref="Q9:Q24" si="3">G9+L9</f>
        <v>79964282</v>
      </c>
      <c r="R9" s="483">
        <f>M9+H9</f>
        <v>69964282</v>
      </c>
      <c r="S9" s="447">
        <f t="shared" ref="S9:S24" si="4">R9-P9</f>
        <v>0</v>
      </c>
      <c r="T9" s="475">
        <f t="shared" ref="T9:T24" si="5">R9-Q9</f>
        <v>-10000000</v>
      </c>
      <c r="U9" s="373">
        <f>R9-D9</f>
        <v>0</v>
      </c>
      <c r="V9" s="207"/>
      <c r="W9" s="406">
        <f>'B. Institucionální podpora'!O9</f>
        <v>69964282</v>
      </c>
      <c r="X9" s="123">
        <f>'B. Institucionální podpora'!P9</f>
        <v>10000000</v>
      </c>
      <c r="Y9" s="123">
        <f>'B. Institucionální podpora'!Q9</f>
        <v>10000000</v>
      </c>
      <c r="Z9" s="365">
        <f>'B. Institucionální podpora'!R9</f>
        <v>79964282</v>
      </c>
      <c r="AA9" s="381">
        <f>'B. Institucionální podpora'!S9</f>
        <v>69964282</v>
      </c>
      <c r="AB9" s="394">
        <f t="shared" ref="AB9:AB24" si="6">AA9-W9</f>
        <v>0</v>
      </c>
      <c r="AC9" s="362">
        <f>AA9-Z9</f>
        <v>-10000000</v>
      </c>
      <c r="AD9" s="406">
        <f>'C. Účelová podpora'!O8</f>
        <v>0</v>
      </c>
      <c r="AE9" s="123">
        <f>'C. Účelová podpora'!P8</f>
        <v>0</v>
      </c>
      <c r="AF9" s="123">
        <f>'C. Účelová podpora'!Q8</f>
        <v>0</v>
      </c>
      <c r="AG9" s="365">
        <f>'C. Účelová podpora'!R8</f>
        <v>0</v>
      </c>
      <c r="AH9" s="381">
        <f>'C. Účelová podpora'!S8</f>
        <v>0</v>
      </c>
      <c r="AI9" s="447">
        <f t="shared" ref="AI9:AI24" si="7">AH9-AD9</f>
        <v>0</v>
      </c>
      <c r="AJ9" s="367">
        <f>AH9-AG9</f>
        <v>0</v>
      </c>
      <c r="AK9" s="194">
        <f t="shared" ref="AK9:AK24" si="8">W9+AD9</f>
        <v>69964282</v>
      </c>
      <c r="AL9" s="290">
        <f t="shared" ref="AL9:AL24" si="9">X9+AE9</f>
        <v>10000000</v>
      </c>
      <c r="AM9" s="303">
        <f t="shared" ref="AM9:AM24" si="10">Y9+AF9</f>
        <v>10000000</v>
      </c>
      <c r="AN9" s="368">
        <f t="shared" ref="AN9:AN24" si="11">Z9+AG9</f>
        <v>79964282</v>
      </c>
      <c r="AO9" s="370">
        <f>AH9+AA9</f>
        <v>69964282</v>
      </c>
      <c r="AP9" s="373">
        <f t="shared" ref="AP9:AP24" si="12">AO9-AK9</f>
        <v>0</v>
      </c>
      <c r="AQ9" s="475">
        <f t="shared" ref="AQ9:AQ24" si="13">AO9-AN9</f>
        <v>-10000000</v>
      </c>
      <c r="AR9" s="207"/>
      <c r="AS9" s="406">
        <f>'B. Institucionální podpora'!W9</f>
        <v>69964282</v>
      </c>
      <c r="AT9" s="123">
        <f>'B. Institucionální podpora'!X9</f>
        <v>10000000</v>
      </c>
      <c r="AU9" s="123">
        <f>'B. Institucionální podpora'!Y9</f>
        <v>10000000</v>
      </c>
      <c r="AV9" s="365">
        <f>'B. Institucionální podpora'!Z9</f>
        <v>79964282</v>
      </c>
      <c r="AW9" s="381">
        <f>'B. Institucionální podpora'!AA9</f>
        <v>69964282</v>
      </c>
      <c r="AX9" s="394">
        <f t="shared" ref="AX9:AX24" si="14">AW9-AS9</f>
        <v>0</v>
      </c>
      <c r="AY9" s="362">
        <f>AW9-AV9</f>
        <v>-10000000</v>
      </c>
      <c r="AZ9" s="406">
        <f>'C. Účelová podpora'!W8</f>
        <v>0</v>
      </c>
      <c r="BA9" s="123">
        <f>'C. Účelová podpora'!X8</f>
        <v>0</v>
      </c>
      <c r="BB9" s="123">
        <f>'C. Účelová podpora'!Y8</f>
        <v>0</v>
      </c>
      <c r="BC9" s="365">
        <f>'C. Účelová podpora'!Z8</f>
        <v>0</v>
      </c>
      <c r="BD9" s="381">
        <f>'C. Účelová podpora'!AA8</f>
        <v>0</v>
      </c>
      <c r="BE9" s="394">
        <f t="shared" ref="BE9:BE24" si="15">BD9-AZ9</f>
        <v>0</v>
      </c>
      <c r="BF9" s="362">
        <f>BD9-BC9</f>
        <v>0</v>
      </c>
      <c r="BG9" s="194">
        <f t="shared" ref="BG9:BG24" si="16">AS9+AZ9</f>
        <v>69964282</v>
      </c>
      <c r="BH9" s="290">
        <f t="shared" ref="BH9:BH24" si="17">AT9+BA9</f>
        <v>10000000</v>
      </c>
      <c r="BI9" s="303">
        <f t="shared" ref="BI9:BI24" si="18">AU9+BB9</f>
        <v>10000000</v>
      </c>
      <c r="BJ9" s="368">
        <f t="shared" ref="BJ9:BJ24" si="19">AV9+BC9</f>
        <v>79964282</v>
      </c>
      <c r="BK9" s="370">
        <f>BD9+AW9</f>
        <v>69964282</v>
      </c>
      <c r="BL9" s="429">
        <f t="shared" ref="BL9:BL24" si="20">BK9-BG9</f>
        <v>0</v>
      </c>
      <c r="BM9" s="414">
        <f t="shared" ref="BM9:BM24" si="21">BK9-BJ9</f>
        <v>-10000000</v>
      </c>
    </row>
    <row r="10" spans="1:67" s="102" customFormat="1" ht="15.75" customHeight="1" x14ac:dyDescent="0.25">
      <c r="A10" s="118" t="s">
        <v>98</v>
      </c>
      <c r="B10" s="106">
        <f>'B. Institucionální podpora'!D11</f>
        <v>31169160</v>
      </c>
      <c r="C10" s="122">
        <f>'C. Účelová podpora'!D10</f>
        <v>0</v>
      </c>
      <c r="D10" s="201">
        <f t="shared" si="0"/>
        <v>31169160</v>
      </c>
      <c r="E10" s="208"/>
      <c r="F10" s="410">
        <f>'B. Institucionální podpora'!F11</f>
        <v>31169160</v>
      </c>
      <c r="G10" s="366">
        <f>'B. Institucionální podpora'!I11</f>
        <v>34909459.200000003</v>
      </c>
      <c r="H10" s="417">
        <f>'B. Institucionální podpora'!J11</f>
        <v>31169160</v>
      </c>
      <c r="I10" s="187">
        <f t="shared" si="1"/>
        <v>0</v>
      </c>
      <c r="J10" s="363">
        <f>H10-G10</f>
        <v>-3740299.200000003</v>
      </c>
      <c r="K10" s="407">
        <f>'C. Účelová podpora'!F10</f>
        <v>0</v>
      </c>
      <c r="L10" s="366">
        <f>'C. Účelová podpora'!I10</f>
        <v>0</v>
      </c>
      <c r="M10" s="382">
        <f>'C. Účelová podpora'!J10</f>
        <v>0</v>
      </c>
      <c r="N10" s="395">
        <f>M10-K10</f>
        <v>0</v>
      </c>
      <c r="O10" s="363">
        <f>M10-L10</f>
        <v>0</v>
      </c>
      <c r="P10" s="195">
        <f t="shared" si="2"/>
        <v>31169160</v>
      </c>
      <c r="Q10" s="369">
        <f t="shared" si="3"/>
        <v>34909459.200000003</v>
      </c>
      <c r="R10" s="483">
        <f>M10+H10</f>
        <v>31169160</v>
      </c>
      <c r="S10" s="395">
        <f t="shared" si="4"/>
        <v>0</v>
      </c>
      <c r="T10" s="374">
        <f t="shared" si="5"/>
        <v>-3740299.200000003</v>
      </c>
      <c r="U10" s="187">
        <f>R10-D10</f>
        <v>0</v>
      </c>
      <c r="V10" s="208"/>
      <c r="W10" s="407">
        <f>'B. Institucionální podpora'!O11</f>
        <v>31169160</v>
      </c>
      <c r="X10" s="122">
        <f>'B. Institucionální podpora'!P11</f>
        <v>3740299</v>
      </c>
      <c r="Y10" s="122">
        <f>'B. Institucionální podpora'!Q11</f>
        <v>6533055.9360000007</v>
      </c>
      <c r="Z10" s="366">
        <f>'B. Institucionální podpora'!R11</f>
        <v>37702215.936000004</v>
      </c>
      <c r="AA10" s="382">
        <f>'B. Institucionální podpora'!S11</f>
        <v>31169160</v>
      </c>
      <c r="AB10" s="395">
        <f t="shared" si="6"/>
        <v>0</v>
      </c>
      <c r="AC10" s="363">
        <f>AA10-Z10</f>
        <v>-6533055.9360000044</v>
      </c>
      <c r="AD10" s="407">
        <f>'C. Účelová podpora'!O10</f>
        <v>0</v>
      </c>
      <c r="AE10" s="122">
        <f>'C. Účelová podpora'!P10</f>
        <v>0</v>
      </c>
      <c r="AF10" s="122">
        <f>'C. Účelová podpora'!Q10</f>
        <v>0</v>
      </c>
      <c r="AG10" s="366">
        <f>'C. Účelová podpora'!R10</f>
        <v>0</v>
      </c>
      <c r="AH10" s="382">
        <f>'C. Účelová podpora'!S10</f>
        <v>0</v>
      </c>
      <c r="AI10" s="395">
        <f t="shared" si="7"/>
        <v>0</v>
      </c>
      <c r="AJ10" s="363">
        <f>AH10-AG10</f>
        <v>0</v>
      </c>
      <c r="AK10" s="195">
        <f t="shared" si="8"/>
        <v>31169160</v>
      </c>
      <c r="AL10" s="291">
        <f t="shared" si="9"/>
        <v>3740299</v>
      </c>
      <c r="AM10" s="304">
        <f t="shared" si="10"/>
        <v>6533055.9360000007</v>
      </c>
      <c r="AN10" s="369">
        <f t="shared" si="11"/>
        <v>37702215.936000004</v>
      </c>
      <c r="AO10" s="371">
        <f>AH10+AA10</f>
        <v>31169160</v>
      </c>
      <c r="AP10" s="187">
        <f t="shared" si="12"/>
        <v>0</v>
      </c>
      <c r="AQ10" s="374">
        <f t="shared" si="13"/>
        <v>-6533055.9360000044</v>
      </c>
      <c r="AR10" s="208"/>
      <c r="AS10" s="407">
        <f>'B. Institucionální podpora'!W11</f>
        <v>31169160</v>
      </c>
      <c r="AT10" s="122">
        <f>'B. Institucionální podpora'!X11</f>
        <v>3740299</v>
      </c>
      <c r="AU10" s="122">
        <f>'B. Institucionální podpora'!Y11</f>
        <v>6533055.9360000007</v>
      </c>
      <c r="AV10" s="366">
        <f>'B. Institucionální podpora'!Z11</f>
        <v>37702215.936000004</v>
      </c>
      <c r="AW10" s="382">
        <f>'B. Institucionální podpora'!AA11</f>
        <v>31169160</v>
      </c>
      <c r="AX10" s="395">
        <f t="shared" si="14"/>
        <v>0</v>
      </c>
      <c r="AY10" s="363">
        <f>AW10-AV10</f>
        <v>-6533055.9360000044</v>
      </c>
      <c r="AZ10" s="407">
        <f>'C. Účelová podpora'!W10</f>
        <v>0</v>
      </c>
      <c r="BA10" s="122">
        <f>'C. Účelová podpora'!X10</f>
        <v>0</v>
      </c>
      <c r="BB10" s="122">
        <f>'C. Účelová podpora'!Y10</f>
        <v>0</v>
      </c>
      <c r="BC10" s="366">
        <f>'C. Účelová podpora'!Z10</f>
        <v>0</v>
      </c>
      <c r="BD10" s="382">
        <f>'C. Účelová podpora'!AA10</f>
        <v>0</v>
      </c>
      <c r="BE10" s="395">
        <f t="shared" si="15"/>
        <v>0</v>
      </c>
      <c r="BF10" s="363">
        <f>BD10-BC10</f>
        <v>0</v>
      </c>
      <c r="BG10" s="195">
        <f t="shared" si="16"/>
        <v>31169160</v>
      </c>
      <c r="BH10" s="291">
        <f t="shared" si="17"/>
        <v>3740299</v>
      </c>
      <c r="BI10" s="304">
        <f t="shared" si="18"/>
        <v>6533055.9360000007</v>
      </c>
      <c r="BJ10" s="369">
        <f t="shared" si="19"/>
        <v>37702215.936000004</v>
      </c>
      <c r="BK10" s="371">
        <f>BD10+AW10</f>
        <v>31169160</v>
      </c>
      <c r="BL10" s="187">
        <f t="shared" si="20"/>
        <v>0</v>
      </c>
      <c r="BM10" s="374">
        <f t="shared" si="21"/>
        <v>-6533055.9360000044</v>
      </c>
    </row>
    <row r="11" spans="1:67" s="102" customFormat="1" ht="15.75" customHeight="1" x14ac:dyDescent="0.25">
      <c r="A11" s="119" t="s">
        <v>99</v>
      </c>
      <c r="B11" s="106">
        <f>'B. Institucionální podpora'!D17</f>
        <v>110028203</v>
      </c>
      <c r="C11" s="122">
        <f>'C. Účelová podpora'!D13</f>
        <v>333240000</v>
      </c>
      <c r="D11" s="201">
        <f t="shared" si="0"/>
        <v>443268203</v>
      </c>
      <c r="E11" s="208"/>
      <c r="F11" s="410">
        <f>'B. Institucionální podpora'!F17</f>
        <v>110028203</v>
      </c>
      <c r="G11" s="366">
        <f>'B. Institucionální podpora'!I17</f>
        <v>124528203</v>
      </c>
      <c r="H11" s="417">
        <f>'B. Institucionální podpora'!J17</f>
        <v>124528203</v>
      </c>
      <c r="I11" s="187">
        <f t="shared" si="1"/>
        <v>14500000</v>
      </c>
      <c r="J11" s="363">
        <f t="shared" ref="J11:J24" si="22">H11-G11</f>
        <v>0</v>
      </c>
      <c r="K11" s="407">
        <f>'C. Účelová podpora'!F13</f>
        <v>333240000</v>
      </c>
      <c r="L11" s="366">
        <f>'C. Účelová podpora'!I13</f>
        <v>333240000</v>
      </c>
      <c r="M11" s="382">
        <f>'C. Účelová podpora'!J13</f>
        <v>333240000</v>
      </c>
      <c r="N11" s="395">
        <f t="shared" ref="N11:N24" si="23">M11-K11</f>
        <v>0</v>
      </c>
      <c r="O11" s="363">
        <f t="shared" ref="O11:O24" si="24">M11-L11</f>
        <v>0</v>
      </c>
      <c r="P11" s="195">
        <f t="shared" si="2"/>
        <v>443268203</v>
      </c>
      <c r="Q11" s="369">
        <f t="shared" si="3"/>
        <v>457768203</v>
      </c>
      <c r="R11" s="483">
        <f t="shared" ref="R11:R24" si="25">M11+H11</f>
        <v>457768203</v>
      </c>
      <c r="S11" s="395">
        <f t="shared" si="4"/>
        <v>14500000</v>
      </c>
      <c r="T11" s="187">
        <f t="shared" si="5"/>
        <v>0</v>
      </c>
      <c r="U11" s="187">
        <f t="shared" ref="U11:U24" si="26">R11-D11</f>
        <v>14500000</v>
      </c>
      <c r="V11" s="208"/>
      <c r="W11" s="407">
        <f>'B. Institucionální podpora'!O17</f>
        <v>110028203</v>
      </c>
      <c r="X11" s="122">
        <f>'B. Institucionální podpora'!P17</f>
        <v>18500000</v>
      </c>
      <c r="Y11" s="122">
        <f>'B. Institucionální podpora'!Q17</f>
        <v>18500000</v>
      </c>
      <c r="Z11" s="366">
        <f>'B. Institucionální podpora'!R17</f>
        <v>128528203</v>
      </c>
      <c r="AA11" s="382">
        <f>'B. Institucionální podpora'!S17</f>
        <v>128528203</v>
      </c>
      <c r="AB11" s="395">
        <f t="shared" si="6"/>
        <v>18500000</v>
      </c>
      <c r="AC11" s="363">
        <f t="shared" ref="AC11:AC24" si="27">AA11-Z11</f>
        <v>0</v>
      </c>
      <c r="AD11" s="407">
        <f>'C. Účelová podpora'!O13</f>
        <v>333240000</v>
      </c>
      <c r="AE11" s="122">
        <f>'C. Účelová podpora'!P13</f>
        <v>51760000</v>
      </c>
      <c r="AF11" s="122">
        <f>'C. Účelová podpora'!Q13</f>
        <v>51760000</v>
      </c>
      <c r="AG11" s="366">
        <f>'C. Účelová podpora'!R13</f>
        <v>385000000</v>
      </c>
      <c r="AH11" s="382">
        <f>'C. Účelová podpora'!S13</f>
        <v>385000000</v>
      </c>
      <c r="AI11" s="395">
        <f t="shared" si="7"/>
        <v>51760000</v>
      </c>
      <c r="AJ11" s="363">
        <f t="shared" ref="AJ11:AJ24" si="28">AH11-AG11</f>
        <v>0</v>
      </c>
      <c r="AK11" s="195">
        <f t="shared" si="8"/>
        <v>443268203</v>
      </c>
      <c r="AL11" s="291">
        <f t="shared" si="9"/>
        <v>70260000</v>
      </c>
      <c r="AM11" s="304">
        <f t="shared" si="10"/>
        <v>70260000</v>
      </c>
      <c r="AN11" s="369">
        <f t="shared" si="11"/>
        <v>513528203</v>
      </c>
      <c r="AO11" s="371">
        <f t="shared" ref="AO11:AO24" si="29">AH11+AA11</f>
        <v>513528203</v>
      </c>
      <c r="AP11" s="187">
        <f t="shared" si="12"/>
        <v>70260000</v>
      </c>
      <c r="AQ11" s="187">
        <f t="shared" si="13"/>
        <v>0</v>
      </c>
      <c r="AR11" s="208"/>
      <c r="AS11" s="407">
        <f>'B. Institucionální podpora'!W17</f>
        <v>110028203</v>
      </c>
      <c r="AT11" s="122">
        <f>'B. Institucionální podpora'!X17</f>
        <v>23000000</v>
      </c>
      <c r="AU11" s="122">
        <f>'B. Institucionální podpora'!Y17</f>
        <v>19500000</v>
      </c>
      <c r="AV11" s="366">
        <f>'B. Institucionální podpora'!Z17</f>
        <v>129528203</v>
      </c>
      <c r="AW11" s="382">
        <f>'B. Institucionální podpora'!AA17</f>
        <v>129528203</v>
      </c>
      <c r="AX11" s="395">
        <f t="shared" si="14"/>
        <v>19500000</v>
      </c>
      <c r="AY11" s="363">
        <f t="shared" ref="AY11:AY24" si="30">AW11-AV11</f>
        <v>0</v>
      </c>
      <c r="AZ11" s="407">
        <f>'C. Účelová podpora'!W13</f>
        <v>333240000</v>
      </c>
      <c r="BA11" s="122">
        <f>'C. Účelová podpora'!X13</f>
        <v>61760000</v>
      </c>
      <c r="BB11" s="122">
        <f>'C. Účelová podpora'!Y13</f>
        <v>61760000</v>
      </c>
      <c r="BC11" s="366">
        <f>'C. Účelová podpora'!Z13</f>
        <v>395000000</v>
      </c>
      <c r="BD11" s="382">
        <f>'C. Účelová podpora'!AA13</f>
        <v>395000000</v>
      </c>
      <c r="BE11" s="395">
        <f t="shared" si="15"/>
        <v>61760000</v>
      </c>
      <c r="BF11" s="363">
        <f t="shared" ref="BF11:BF24" si="31">BD11-BC11</f>
        <v>0</v>
      </c>
      <c r="BG11" s="195">
        <f t="shared" si="16"/>
        <v>443268203</v>
      </c>
      <c r="BH11" s="291">
        <f t="shared" si="17"/>
        <v>84760000</v>
      </c>
      <c r="BI11" s="304">
        <f t="shared" si="18"/>
        <v>81260000</v>
      </c>
      <c r="BJ11" s="369">
        <f t="shared" si="19"/>
        <v>524528203</v>
      </c>
      <c r="BK11" s="371">
        <f t="shared" ref="BK11:BK24" si="32">BD11+AW11</f>
        <v>524528203</v>
      </c>
      <c r="BL11" s="187">
        <f t="shared" si="20"/>
        <v>81260000</v>
      </c>
      <c r="BM11" s="366">
        <f>BK11-BJ11</f>
        <v>0</v>
      </c>
    </row>
    <row r="12" spans="1:67" s="102" customFormat="1" ht="15.75" customHeight="1" x14ac:dyDescent="0.25">
      <c r="A12" s="118" t="s">
        <v>100</v>
      </c>
      <c r="B12" s="106">
        <f>'B. Institucionální podpora'!D20</f>
        <v>88919000</v>
      </c>
      <c r="C12" s="122">
        <f>'C. Účelová podpora'!D15</f>
        <v>0</v>
      </c>
      <c r="D12" s="201">
        <f t="shared" si="0"/>
        <v>88919000</v>
      </c>
      <c r="E12" s="208"/>
      <c r="F12" s="410">
        <f>'B. Institucionální podpora'!F20</f>
        <v>88919000</v>
      </c>
      <c r="G12" s="366">
        <f>'B. Institucionální podpora'!I20</f>
        <v>88919000</v>
      </c>
      <c r="H12" s="417">
        <f>'B. Institucionální podpora'!J20</f>
        <v>85462500</v>
      </c>
      <c r="I12" s="374">
        <f t="shared" si="1"/>
        <v>-3456500</v>
      </c>
      <c r="J12" s="363">
        <f t="shared" si="22"/>
        <v>-3456500</v>
      </c>
      <c r="K12" s="407">
        <f>'C. Účelová podpora'!F15</f>
        <v>0</v>
      </c>
      <c r="L12" s="366">
        <f>'C. Účelová podpora'!I15</f>
        <v>0</v>
      </c>
      <c r="M12" s="382">
        <f>'C. Účelová podpora'!J15</f>
        <v>0</v>
      </c>
      <c r="N12" s="395">
        <f t="shared" si="23"/>
        <v>0</v>
      </c>
      <c r="O12" s="363">
        <f t="shared" si="24"/>
        <v>0</v>
      </c>
      <c r="P12" s="195">
        <f t="shared" si="2"/>
        <v>88919000</v>
      </c>
      <c r="Q12" s="369">
        <f t="shared" si="3"/>
        <v>88919000</v>
      </c>
      <c r="R12" s="483">
        <f t="shared" si="25"/>
        <v>85462500</v>
      </c>
      <c r="S12" s="375">
        <f t="shared" si="4"/>
        <v>-3456500</v>
      </c>
      <c r="T12" s="374">
        <f t="shared" si="5"/>
        <v>-3456500</v>
      </c>
      <c r="U12" s="374">
        <f t="shared" si="26"/>
        <v>-3456500</v>
      </c>
      <c r="V12" s="208"/>
      <c r="W12" s="407">
        <f>'B. Institucionální podpora'!O20</f>
        <v>88919000</v>
      </c>
      <c r="X12" s="122">
        <f>'B. Institucionální podpora'!P20</f>
        <v>0</v>
      </c>
      <c r="Y12" s="122">
        <f>'B. Institucionální podpora'!Q20</f>
        <v>0</v>
      </c>
      <c r="Z12" s="366">
        <f>'B. Institucionální podpora'!R20</f>
        <v>88919000</v>
      </c>
      <c r="AA12" s="382">
        <f>'B. Institucionální podpora'!S20</f>
        <v>85462500</v>
      </c>
      <c r="AB12" s="375">
        <f t="shared" si="6"/>
        <v>-3456500</v>
      </c>
      <c r="AC12" s="363">
        <f t="shared" si="27"/>
        <v>-3456500</v>
      </c>
      <c r="AD12" s="407">
        <f>'C. Účelová podpora'!O15</f>
        <v>0</v>
      </c>
      <c r="AE12" s="122">
        <f>'C. Účelová podpora'!P15</f>
        <v>0</v>
      </c>
      <c r="AF12" s="122">
        <f>'C. Účelová podpora'!Q15</f>
        <v>0</v>
      </c>
      <c r="AG12" s="366">
        <f>'C. Účelová podpora'!R15</f>
        <v>0</v>
      </c>
      <c r="AH12" s="382">
        <f>'C. Účelová podpora'!S15</f>
        <v>0</v>
      </c>
      <c r="AI12" s="395">
        <f t="shared" si="7"/>
        <v>0</v>
      </c>
      <c r="AJ12" s="363">
        <f t="shared" si="28"/>
        <v>0</v>
      </c>
      <c r="AK12" s="195">
        <f t="shared" si="8"/>
        <v>88919000</v>
      </c>
      <c r="AL12" s="291">
        <f t="shared" si="9"/>
        <v>0</v>
      </c>
      <c r="AM12" s="304">
        <f t="shared" si="10"/>
        <v>0</v>
      </c>
      <c r="AN12" s="369">
        <f t="shared" si="11"/>
        <v>88919000</v>
      </c>
      <c r="AO12" s="371">
        <f t="shared" si="29"/>
        <v>85462500</v>
      </c>
      <c r="AP12" s="374">
        <f t="shared" si="12"/>
        <v>-3456500</v>
      </c>
      <c r="AQ12" s="374">
        <f t="shared" si="13"/>
        <v>-3456500</v>
      </c>
      <c r="AR12" s="208"/>
      <c r="AS12" s="407">
        <f>'B. Institucionální podpora'!W20</f>
        <v>88919000</v>
      </c>
      <c r="AT12" s="122">
        <f>'B. Institucionální podpora'!X20</f>
        <v>0</v>
      </c>
      <c r="AU12" s="122">
        <f>'B. Institucionální podpora'!Y20</f>
        <v>0</v>
      </c>
      <c r="AV12" s="366">
        <f>'B. Institucionální podpora'!Z20</f>
        <v>88919000</v>
      </c>
      <c r="AW12" s="382">
        <f>'B. Institucionální podpora'!AA20</f>
        <v>85462500</v>
      </c>
      <c r="AX12" s="375">
        <f t="shared" si="14"/>
        <v>-3456500</v>
      </c>
      <c r="AY12" s="363">
        <f t="shared" si="30"/>
        <v>-3456500</v>
      </c>
      <c r="AZ12" s="407">
        <f>'C. Účelová podpora'!W15</f>
        <v>0</v>
      </c>
      <c r="BA12" s="122">
        <f>'C. Účelová podpora'!X15</f>
        <v>0</v>
      </c>
      <c r="BB12" s="122">
        <f>'C. Účelová podpora'!Y15</f>
        <v>0</v>
      </c>
      <c r="BC12" s="366">
        <f>'C. Účelová podpora'!Z15</f>
        <v>0</v>
      </c>
      <c r="BD12" s="382">
        <f>'C. Účelová podpora'!AA15</f>
        <v>0</v>
      </c>
      <c r="BE12" s="395">
        <f t="shared" si="15"/>
        <v>0</v>
      </c>
      <c r="BF12" s="363">
        <f t="shared" si="31"/>
        <v>0</v>
      </c>
      <c r="BG12" s="195">
        <f t="shared" si="16"/>
        <v>88919000</v>
      </c>
      <c r="BH12" s="291">
        <f t="shared" si="17"/>
        <v>0</v>
      </c>
      <c r="BI12" s="304">
        <f t="shared" si="18"/>
        <v>0</v>
      </c>
      <c r="BJ12" s="369">
        <f t="shared" si="19"/>
        <v>88919000</v>
      </c>
      <c r="BK12" s="371">
        <f t="shared" si="32"/>
        <v>85462500</v>
      </c>
      <c r="BL12" s="374">
        <f t="shared" si="20"/>
        <v>-3456500</v>
      </c>
      <c r="BM12" s="374">
        <f t="shared" si="21"/>
        <v>-3456500</v>
      </c>
    </row>
    <row r="13" spans="1:67" s="102" customFormat="1" ht="15.75" customHeight="1" x14ac:dyDescent="0.25">
      <c r="A13" s="119" t="s">
        <v>101</v>
      </c>
      <c r="B13" s="106">
        <f>'B. Institucionální podpora'!D24</f>
        <v>125145257</v>
      </c>
      <c r="C13" s="122">
        <f>'C. Účelová podpora'!D23</f>
        <v>648200000</v>
      </c>
      <c r="D13" s="201">
        <f t="shared" si="0"/>
        <v>773345257</v>
      </c>
      <c r="E13" s="208"/>
      <c r="F13" s="410">
        <f>'B. Institucionální podpora'!F24</f>
        <v>125145257</v>
      </c>
      <c r="G13" s="366">
        <f>'B. Institucionální podpora'!I24</f>
        <v>134467900.84</v>
      </c>
      <c r="H13" s="417">
        <f>'B. Institucionální podpora'!J24</f>
        <v>120663217</v>
      </c>
      <c r="I13" s="374">
        <f t="shared" si="1"/>
        <v>-4482040</v>
      </c>
      <c r="J13" s="363">
        <f t="shared" si="22"/>
        <v>-13804683.840000004</v>
      </c>
      <c r="K13" s="407">
        <f>'C. Účelová podpora'!F23</f>
        <v>648200000</v>
      </c>
      <c r="L13" s="366">
        <f>'C. Účelová podpora'!I23</f>
        <v>648200000</v>
      </c>
      <c r="M13" s="382">
        <f>'C. Účelová podpora'!J23</f>
        <v>623200000</v>
      </c>
      <c r="N13" s="375">
        <f t="shared" si="23"/>
        <v>-25000000</v>
      </c>
      <c r="O13" s="363">
        <f t="shared" si="24"/>
        <v>-25000000</v>
      </c>
      <c r="P13" s="195">
        <f t="shared" si="2"/>
        <v>773345257</v>
      </c>
      <c r="Q13" s="369">
        <f t="shared" si="3"/>
        <v>782667900.84000003</v>
      </c>
      <c r="R13" s="483">
        <f t="shared" si="25"/>
        <v>743863217</v>
      </c>
      <c r="S13" s="375">
        <f t="shared" si="4"/>
        <v>-29482040</v>
      </c>
      <c r="T13" s="374">
        <f t="shared" si="5"/>
        <v>-38804683.840000033</v>
      </c>
      <c r="U13" s="374">
        <f t="shared" si="26"/>
        <v>-29482040</v>
      </c>
      <c r="V13" s="208"/>
      <c r="W13" s="407">
        <f>'B. Institucionální podpora'!O24</f>
        <v>125145257</v>
      </c>
      <c r="X13" s="122">
        <f>'B. Institucionální podpora'!P24</f>
        <v>79518072</v>
      </c>
      <c r="Y13" s="122">
        <f>'B. Institucionální podpora'!Q24</f>
        <v>19391099.187200002</v>
      </c>
      <c r="Z13" s="366">
        <f>'B. Institucionální podpora'!R24</f>
        <v>144536356.18720001</v>
      </c>
      <c r="AA13" s="382">
        <f>'B. Institucionální podpora'!S24</f>
        <v>120663217</v>
      </c>
      <c r="AB13" s="375">
        <f t="shared" si="6"/>
        <v>-4482040</v>
      </c>
      <c r="AC13" s="363">
        <f t="shared" si="27"/>
        <v>-23873139.18720001</v>
      </c>
      <c r="AD13" s="407">
        <f>'C. Účelová podpora'!O23</f>
        <v>648200000</v>
      </c>
      <c r="AE13" s="122">
        <f>'C. Účelová podpora'!P23</f>
        <v>130000000</v>
      </c>
      <c r="AF13" s="122">
        <f>'C. Účelová podpora'!Q23</f>
        <v>0</v>
      </c>
      <c r="AG13" s="366">
        <f>'C. Účelová podpora'!R23</f>
        <v>648200000</v>
      </c>
      <c r="AH13" s="382">
        <f>'C. Účelová podpora'!S23</f>
        <v>623200000</v>
      </c>
      <c r="AI13" s="375">
        <f t="shared" si="7"/>
        <v>-25000000</v>
      </c>
      <c r="AJ13" s="363">
        <f t="shared" si="28"/>
        <v>-25000000</v>
      </c>
      <c r="AK13" s="195">
        <f t="shared" si="8"/>
        <v>773345257</v>
      </c>
      <c r="AL13" s="291">
        <f t="shared" si="9"/>
        <v>209518072</v>
      </c>
      <c r="AM13" s="304">
        <f t="shared" si="10"/>
        <v>19391099.187200002</v>
      </c>
      <c r="AN13" s="369">
        <f t="shared" si="11"/>
        <v>792736356.18720007</v>
      </c>
      <c r="AO13" s="371">
        <f t="shared" si="29"/>
        <v>743863217</v>
      </c>
      <c r="AP13" s="374">
        <f t="shared" si="12"/>
        <v>-29482040</v>
      </c>
      <c r="AQ13" s="374">
        <f t="shared" si="13"/>
        <v>-48873139.187200069</v>
      </c>
      <c r="AR13" s="208"/>
      <c r="AS13" s="407">
        <f>'B. Institucionální podpora'!W24</f>
        <v>125145257</v>
      </c>
      <c r="AT13" s="122">
        <f>'B. Institucionální podpora'!X24</f>
        <v>79518072</v>
      </c>
      <c r="AU13" s="122">
        <f>'B. Institucionální podpora'!Y24</f>
        <v>19391099.187200002</v>
      </c>
      <c r="AV13" s="366">
        <f>'B. Institucionální podpora'!Z24</f>
        <v>144536356.18720001</v>
      </c>
      <c r="AW13" s="382">
        <f>'B. Institucionální podpora'!AA24</f>
        <v>120663217</v>
      </c>
      <c r="AX13" s="375">
        <f t="shared" si="14"/>
        <v>-4482040</v>
      </c>
      <c r="AY13" s="363">
        <f t="shared" si="30"/>
        <v>-23873139.18720001</v>
      </c>
      <c r="AZ13" s="407">
        <f>'C. Účelová podpora'!W23</f>
        <v>648200000</v>
      </c>
      <c r="BA13" s="122">
        <f>'C. Účelová podpora'!X23</f>
        <v>231800000</v>
      </c>
      <c r="BB13" s="122">
        <f>'C. Účelová podpora'!Y23</f>
        <v>150000000</v>
      </c>
      <c r="BC13" s="366">
        <f>'C. Účelová podpora'!Z23</f>
        <v>798200000</v>
      </c>
      <c r="BD13" s="382">
        <f>'C. Účelová podpora'!AA23</f>
        <v>623200000</v>
      </c>
      <c r="BE13" s="375">
        <f t="shared" si="15"/>
        <v>-25000000</v>
      </c>
      <c r="BF13" s="363">
        <f t="shared" si="31"/>
        <v>-175000000</v>
      </c>
      <c r="BG13" s="195">
        <f t="shared" si="16"/>
        <v>773345257</v>
      </c>
      <c r="BH13" s="291">
        <f t="shared" si="17"/>
        <v>311318072</v>
      </c>
      <c r="BI13" s="304">
        <f t="shared" si="18"/>
        <v>169391099.18720001</v>
      </c>
      <c r="BJ13" s="369">
        <f t="shared" si="19"/>
        <v>942736356.18720007</v>
      </c>
      <c r="BK13" s="371">
        <f t="shared" si="32"/>
        <v>743863217</v>
      </c>
      <c r="BL13" s="374">
        <f t="shared" si="20"/>
        <v>-29482040</v>
      </c>
      <c r="BM13" s="374">
        <f t="shared" si="21"/>
        <v>-198873139.18720007</v>
      </c>
    </row>
    <row r="14" spans="1:67" s="102" customFormat="1" ht="15.75" customHeight="1" x14ac:dyDescent="0.25">
      <c r="A14" s="118" t="s">
        <v>102</v>
      </c>
      <c r="B14" s="106">
        <f>'B. Institucionální podpora'!D27</f>
        <v>296367295</v>
      </c>
      <c r="C14" s="122">
        <f>'C. Účelová podpora'!D25</f>
        <v>0</v>
      </c>
      <c r="D14" s="201">
        <f t="shared" si="0"/>
        <v>296367295</v>
      </c>
      <c r="E14" s="208"/>
      <c r="F14" s="410">
        <f>'B. Institucionální podpora'!F27</f>
        <v>277175447</v>
      </c>
      <c r="G14" s="366">
        <f>'B. Institucionální podpora'!I27</f>
        <v>360113414</v>
      </c>
      <c r="H14" s="417">
        <f>'B. Institucionální podpora'!J27</f>
        <v>360113414</v>
      </c>
      <c r="I14" s="187">
        <f t="shared" si="1"/>
        <v>82937967</v>
      </c>
      <c r="J14" s="363">
        <f t="shared" si="22"/>
        <v>0</v>
      </c>
      <c r="K14" s="407">
        <f>'C. Účelová podpora'!F25</f>
        <v>0</v>
      </c>
      <c r="L14" s="366">
        <f>'C. Účelová podpora'!I25</f>
        <v>0</v>
      </c>
      <c r="M14" s="382">
        <f>'C. Účelová podpora'!J25</f>
        <v>0</v>
      </c>
      <c r="N14" s="395">
        <f t="shared" si="23"/>
        <v>0</v>
      </c>
      <c r="O14" s="363">
        <f t="shared" si="24"/>
        <v>0</v>
      </c>
      <c r="P14" s="195">
        <f t="shared" si="2"/>
        <v>277175447</v>
      </c>
      <c r="Q14" s="369">
        <f t="shared" si="3"/>
        <v>360113414</v>
      </c>
      <c r="R14" s="483">
        <f t="shared" si="25"/>
        <v>360113414</v>
      </c>
      <c r="S14" s="395">
        <f t="shared" si="4"/>
        <v>82937967</v>
      </c>
      <c r="T14" s="187">
        <f t="shared" si="5"/>
        <v>0</v>
      </c>
      <c r="U14" s="187">
        <f t="shared" si="26"/>
        <v>63746119</v>
      </c>
      <c r="V14" s="208"/>
      <c r="W14" s="407">
        <f>'B. Institucionální podpora'!O27</f>
        <v>277175447</v>
      </c>
      <c r="X14" s="122">
        <f>'B. Institucionální podpora'!P27</f>
        <v>93741305</v>
      </c>
      <c r="Y14" s="122">
        <f>'B. Institucionální podpora'!Q27</f>
        <v>93741305</v>
      </c>
      <c r="Z14" s="366">
        <f>'B. Institucionální podpora'!R27</f>
        <v>370916752</v>
      </c>
      <c r="AA14" s="382">
        <f>'B. Institucionální podpora'!S27</f>
        <v>266538927</v>
      </c>
      <c r="AB14" s="375">
        <f t="shared" si="6"/>
        <v>-10636520</v>
      </c>
      <c r="AC14" s="363">
        <f t="shared" si="27"/>
        <v>-104377825</v>
      </c>
      <c r="AD14" s="407">
        <f>'C. Účelová podpora'!O25</f>
        <v>0</v>
      </c>
      <c r="AE14" s="122">
        <f>'C. Účelová podpora'!P25</f>
        <v>0</v>
      </c>
      <c r="AF14" s="122">
        <f>'C. Účelová podpora'!Q25</f>
        <v>0</v>
      </c>
      <c r="AG14" s="366">
        <f>'C. Účelová podpora'!R25</f>
        <v>0</v>
      </c>
      <c r="AH14" s="382">
        <f>'C. Účelová podpora'!S25</f>
        <v>0</v>
      </c>
      <c r="AI14" s="395">
        <f t="shared" si="7"/>
        <v>0</v>
      </c>
      <c r="AJ14" s="363">
        <f t="shared" si="28"/>
        <v>0</v>
      </c>
      <c r="AK14" s="195">
        <f t="shared" si="8"/>
        <v>277175447</v>
      </c>
      <c r="AL14" s="291">
        <f t="shared" si="9"/>
        <v>93741305</v>
      </c>
      <c r="AM14" s="304">
        <f t="shared" si="10"/>
        <v>93741305</v>
      </c>
      <c r="AN14" s="369">
        <f t="shared" si="11"/>
        <v>370916752</v>
      </c>
      <c r="AO14" s="371">
        <f t="shared" si="29"/>
        <v>266538927</v>
      </c>
      <c r="AP14" s="374">
        <f t="shared" si="12"/>
        <v>-10636520</v>
      </c>
      <c r="AQ14" s="374">
        <f t="shared" si="13"/>
        <v>-104377825</v>
      </c>
      <c r="AR14" s="208"/>
      <c r="AS14" s="407">
        <f>'B. Institucionální podpora'!W27</f>
        <v>277175447</v>
      </c>
      <c r="AT14" s="122">
        <f>'B. Institucionální podpora'!X27</f>
        <v>104868744</v>
      </c>
      <c r="AU14" s="122">
        <f>'B. Institucionální podpora'!Y27</f>
        <v>93741305</v>
      </c>
      <c r="AV14" s="366">
        <f>'B. Institucionální podpora'!Z27</f>
        <v>370916752</v>
      </c>
      <c r="AW14" s="382">
        <f>'B. Institucionální podpora'!AA27</f>
        <v>266538927</v>
      </c>
      <c r="AX14" s="375">
        <f t="shared" si="14"/>
        <v>-10636520</v>
      </c>
      <c r="AY14" s="363">
        <f t="shared" si="30"/>
        <v>-104377825</v>
      </c>
      <c r="AZ14" s="407">
        <f>'C. Účelová podpora'!W25</f>
        <v>0</v>
      </c>
      <c r="BA14" s="122">
        <f>'C. Účelová podpora'!X25</f>
        <v>0</v>
      </c>
      <c r="BB14" s="122">
        <f>'C. Účelová podpora'!Y25</f>
        <v>0</v>
      </c>
      <c r="BC14" s="366">
        <f>'C. Účelová podpora'!Z25</f>
        <v>0</v>
      </c>
      <c r="BD14" s="382">
        <f>'C. Účelová podpora'!AA25</f>
        <v>0</v>
      </c>
      <c r="BE14" s="395">
        <f t="shared" si="15"/>
        <v>0</v>
      </c>
      <c r="BF14" s="363">
        <f t="shared" si="31"/>
        <v>0</v>
      </c>
      <c r="BG14" s="195">
        <f t="shared" si="16"/>
        <v>277175447</v>
      </c>
      <c r="BH14" s="291">
        <f t="shared" si="17"/>
        <v>104868744</v>
      </c>
      <c r="BI14" s="304">
        <f t="shared" si="18"/>
        <v>93741305</v>
      </c>
      <c r="BJ14" s="369">
        <f t="shared" si="19"/>
        <v>370916752</v>
      </c>
      <c r="BK14" s="371">
        <f t="shared" si="32"/>
        <v>266538927</v>
      </c>
      <c r="BL14" s="374">
        <f t="shared" si="20"/>
        <v>-10636520</v>
      </c>
      <c r="BM14" s="374">
        <f t="shared" si="21"/>
        <v>-104377825</v>
      </c>
      <c r="BO14" s="184"/>
    </row>
    <row r="15" spans="1:67" s="102" customFormat="1" ht="15.75" customHeight="1" x14ac:dyDescent="0.25">
      <c r="A15" s="119" t="s">
        <v>103</v>
      </c>
      <c r="B15" s="106">
        <f>'B. Institucionální podpora'!D29</f>
        <v>149841581</v>
      </c>
      <c r="C15" s="122">
        <f>'C. Účelová podpora'!D35</f>
        <v>4663158419</v>
      </c>
      <c r="D15" s="201">
        <f t="shared" si="0"/>
        <v>4813000000</v>
      </c>
      <c r="E15" s="208"/>
      <c r="F15" s="410">
        <f>'B. Institucionální podpora'!F29</f>
        <v>149841581</v>
      </c>
      <c r="G15" s="366">
        <f>'B. Institucionální podpora'!I29</f>
        <v>164841581</v>
      </c>
      <c r="H15" s="417">
        <f>'B. Institucionální podpora'!J29</f>
        <v>164841581</v>
      </c>
      <c r="I15" s="187">
        <f t="shared" si="1"/>
        <v>15000000</v>
      </c>
      <c r="J15" s="363">
        <f t="shared" si="22"/>
        <v>0</v>
      </c>
      <c r="K15" s="407">
        <f>'C. Účelová podpora'!F35</f>
        <v>4663158419</v>
      </c>
      <c r="L15" s="366">
        <f>'C. Účelová podpora'!I35</f>
        <v>4898158419</v>
      </c>
      <c r="M15" s="382">
        <f>'C. Účelová podpora'!J35</f>
        <v>4735158419</v>
      </c>
      <c r="N15" s="395">
        <f t="shared" si="23"/>
        <v>72000000</v>
      </c>
      <c r="O15" s="363">
        <f t="shared" si="24"/>
        <v>-163000000</v>
      </c>
      <c r="P15" s="195">
        <f t="shared" si="2"/>
        <v>4813000000</v>
      </c>
      <c r="Q15" s="369">
        <f t="shared" si="3"/>
        <v>5063000000</v>
      </c>
      <c r="R15" s="483">
        <f t="shared" si="25"/>
        <v>4900000000</v>
      </c>
      <c r="S15" s="395">
        <f t="shared" si="4"/>
        <v>87000000</v>
      </c>
      <c r="T15" s="374">
        <f t="shared" si="5"/>
        <v>-163000000</v>
      </c>
      <c r="U15" s="187">
        <f t="shared" si="26"/>
        <v>87000000</v>
      </c>
      <c r="V15" s="208"/>
      <c r="W15" s="407">
        <f>'B. Institucionální podpora'!O29</f>
        <v>149841581</v>
      </c>
      <c r="X15" s="122">
        <f>'B. Institucionální podpora'!P29</f>
        <v>30353410</v>
      </c>
      <c r="Y15" s="122">
        <f>'B. Institucionální podpora'!Q29</f>
        <v>20000000</v>
      </c>
      <c r="Z15" s="366">
        <f>'B. Institucionální podpora'!R29</f>
        <v>169841581</v>
      </c>
      <c r="AA15" s="382">
        <f>'B. Institucionální podpora'!S29</f>
        <v>169841581</v>
      </c>
      <c r="AB15" s="395">
        <f t="shared" si="6"/>
        <v>20000000</v>
      </c>
      <c r="AC15" s="363">
        <f t="shared" si="27"/>
        <v>0</v>
      </c>
      <c r="AD15" s="407">
        <f>'C. Účelová podpora'!O35</f>
        <v>4663158419</v>
      </c>
      <c r="AE15" s="122">
        <f>'C. Účelová podpora'!P35</f>
        <v>922379502</v>
      </c>
      <c r="AF15" s="122">
        <f>'C. Účelová podpora'!Q35</f>
        <v>390000000</v>
      </c>
      <c r="AG15" s="366">
        <f>'C. Účelová podpora'!R35</f>
        <v>5053158419</v>
      </c>
      <c r="AH15" s="382">
        <f>'C. Účelová podpora'!S35</f>
        <v>4430158419</v>
      </c>
      <c r="AI15" s="375">
        <f t="shared" si="7"/>
        <v>-233000000</v>
      </c>
      <c r="AJ15" s="363">
        <f t="shared" si="28"/>
        <v>-623000000</v>
      </c>
      <c r="AK15" s="195">
        <f t="shared" si="8"/>
        <v>4813000000</v>
      </c>
      <c r="AL15" s="291">
        <f t="shared" si="9"/>
        <v>952732912</v>
      </c>
      <c r="AM15" s="304">
        <f t="shared" si="10"/>
        <v>410000000</v>
      </c>
      <c r="AN15" s="369">
        <f t="shared" si="11"/>
        <v>5223000000</v>
      </c>
      <c r="AO15" s="371">
        <f t="shared" si="29"/>
        <v>4600000000</v>
      </c>
      <c r="AP15" s="374">
        <f t="shared" si="12"/>
        <v>-213000000</v>
      </c>
      <c r="AQ15" s="374">
        <f t="shared" si="13"/>
        <v>-623000000</v>
      </c>
      <c r="AR15" s="208"/>
      <c r="AS15" s="407">
        <f>'B. Institucionální podpora'!W29</f>
        <v>149841581</v>
      </c>
      <c r="AT15" s="122">
        <f>'B. Institucionální podpora'!X29</f>
        <v>39163159</v>
      </c>
      <c r="AU15" s="122">
        <f>'B. Institucionální podpora'!Y29</f>
        <v>25000000</v>
      </c>
      <c r="AV15" s="366">
        <f>'B. Institucionální podpora'!Z29</f>
        <v>174841581</v>
      </c>
      <c r="AW15" s="382">
        <f>'B. Institucionální podpora'!AA29</f>
        <v>174841581</v>
      </c>
      <c r="AX15" s="395">
        <f t="shared" si="14"/>
        <v>25000000</v>
      </c>
      <c r="AY15" s="363">
        <f t="shared" si="30"/>
        <v>0</v>
      </c>
      <c r="AZ15" s="407">
        <f>'C. Účelová podpora'!W35</f>
        <v>4663158419</v>
      </c>
      <c r="BA15" s="122">
        <f>'C. Účelová podpora'!X35</f>
        <v>1165877978</v>
      </c>
      <c r="BB15" s="122">
        <f>'C. Účelová podpora'!Y35</f>
        <v>410000000</v>
      </c>
      <c r="BC15" s="366">
        <f>'C. Účelová podpora'!Z35</f>
        <v>5073158419</v>
      </c>
      <c r="BD15" s="382">
        <f>'C. Účelová podpora'!AA35</f>
        <v>4425158419</v>
      </c>
      <c r="BE15" s="375">
        <f t="shared" si="15"/>
        <v>-238000000</v>
      </c>
      <c r="BF15" s="363">
        <f t="shared" si="31"/>
        <v>-648000000</v>
      </c>
      <c r="BG15" s="195">
        <f t="shared" si="16"/>
        <v>4813000000</v>
      </c>
      <c r="BH15" s="291">
        <f t="shared" si="17"/>
        <v>1205041137</v>
      </c>
      <c r="BI15" s="304">
        <f t="shared" si="18"/>
        <v>435000000</v>
      </c>
      <c r="BJ15" s="369">
        <f t="shared" si="19"/>
        <v>5248000000</v>
      </c>
      <c r="BK15" s="371">
        <f t="shared" si="32"/>
        <v>4600000000</v>
      </c>
      <c r="BL15" s="374">
        <f t="shared" si="20"/>
        <v>-213000000</v>
      </c>
      <c r="BM15" s="374">
        <f t="shared" si="21"/>
        <v>-648000000</v>
      </c>
    </row>
    <row r="16" spans="1:67" s="102" customFormat="1" ht="15.75" customHeight="1" x14ac:dyDescent="0.25">
      <c r="A16" s="119" t="s">
        <v>104</v>
      </c>
      <c r="B16" s="106">
        <f>'B. Institucionální podpora'!D33</f>
        <v>511451566</v>
      </c>
      <c r="C16" s="122">
        <f>'C. Účelová podpora'!D38</f>
        <v>540000000</v>
      </c>
      <c r="D16" s="201">
        <f t="shared" si="0"/>
        <v>1051451566</v>
      </c>
      <c r="E16" s="208"/>
      <c r="F16" s="410">
        <f>'B. Institucionální podpora'!F33</f>
        <v>511451566</v>
      </c>
      <c r="G16" s="366">
        <f>'B. Institucionální podpora'!I33</f>
        <v>551891691.27999997</v>
      </c>
      <c r="H16" s="417">
        <f>'B. Institucionální podpora'!J33</f>
        <v>492009198</v>
      </c>
      <c r="I16" s="374">
        <f t="shared" si="1"/>
        <v>-19442368</v>
      </c>
      <c r="J16" s="363">
        <f t="shared" si="22"/>
        <v>-59882493.279999971</v>
      </c>
      <c r="K16" s="407">
        <f>'C. Účelová podpora'!F38</f>
        <v>620000000</v>
      </c>
      <c r="L16" s="366">
        <f>'C. Účelová podpora'!I38</f>
        <v>620000000</v>
      </c>
      <c r="M16" s="382">
        <f>'C. Účelová podpora'!J38</f>
        <v>339442368</v>
      </c>
      <c r="N16" s="375">
        <f t="shared" si="23"/>
        <v>-280557632</v>
      </c>
      <c r="O16" s="363">
        <f t="shared" si="24"/>
        <v>-280557632</v>
      </c>
      <c r="P16" s="195">
        <f t="shared" si="2"/>
        <v>1131451566</v>
      </c>
      <c r="Q16" s="369">
        <f t="shared" si="3"/>
        <v>1171891691.28</v>
      </c>
      <c r="R16" s="483">
        <f t="shared" si="25"/>
        <v>831451566</v>
      </c>
      <c r="S16" s="375">
        <f t="shared" si="4"/>
        <v>-300000000</v>
      </c>
      <c r="T16" s="374">
        <f t="shared" si="5"/>
        <v>-340440125.27999997</v>
      </c>
      <c r="U16" s="374">
        <f t="shared" si="26"/>
        <v>-220000000</v>
      </c>
      <c r="V16" s="208"/>
      <c r="W16" s="407">
        <f>'B. Institucionální podpora'!O33</f>
        <v>511451565.92000002</v>
      </c>
      <c r="X16" s="122">
        <f>'B. Institucionální podpora'!P33</f>
        <v>85000000</v>
      </c>
      <c r="Y16" s="122">
        <f>'B. Institucionální podpora'!Q33</f>
        <v>84115460.582399994</v>
      </c>
      <c r="Z16" s="366">
        <f>'B. Institucionální podpora'!R33</f>
        <v>595567026.50240004</v>
      </c>
      <c r="AA16" s="382">
        <f>'B. Institucionální podpora'!S33</f>
        <v>492009198</v>
      </c>
      <c r="AB16" s="375">
        <f t="shared" si="6"/>
        <v>-19442367.920000017</v>
      </c>
      <c r="AC16" s="363">
        <f t="shared" si="27"/>
        <v>-103557828.50240004</v>
      </c>
      <c r="AD16" s="407">
        <f>'C. Účelová podpora'!O38</f>
        <v>620000000</v>
      </c>
      <c r="AE16" s="122">
        <f>'C. Účelová podpora'!P38</f>
        <v>0</v>
      </c>
      <c r="AF16" s="122">
        <f>'C. Účelová podpora'!Q38</f>
        <v>0</v>
      </c>
      <c r="AG16" s="366">
        <f>'C. Účelová podpora'!R38</f>
        <v>620000000</v>
      </c>
      <c r="AH16" s="382">
        <f>'C. Účelová podpora'!S38</f>
        <v>339442368</v>
      </c>
      <c r="AI16" s="375">
        <f t="shared" si="7"/>
        <v>-280557632</v>
      </c>
      <c r="AJ16" s="363">
        <f t="shared" si="28"/>
        <v>-280557632</v>
      </c>
      <c r="AK16" s="195">
        <f t="shared" si="8"/>
        <v>1131451565.9200001</v>
      </c>
      <c r="AL16" s="291">
        <f t="shared" si="9"/>
        <v>85000000</v>
      </c>
      <c r="AM16" s="304">
        <f t="shared" si="10"/>
        <v>84115460.582399994</v>
      </c>
      <c r="AN16" s="369">
        <f t="shared" si="11"/>
        <v>1215567026.5023999</v>
      </c>
      <c r="AO16" s="371">
        <f t="shared" si="29"/>
        <v>831451566</v>
      </c>
      <c r="AP16" s="374">
        <f t="shared" si="12"/>
        <v>-299999999.92000008</v>
      </c>
      <c r="AQ16" s="374">
        <f t="shared" si="13"/>
        <v>-384115460.50239992</v>
      </c>
      <c r="AR16" s="208"/>
      <c r="AS16" s="407">
        <f>'B. Institucionální podpora'!W33</f>
        <v>511451565.92000002</v>
      </c>
      <c r="AT16" s="122">
        <f>'B. Institucionální podpora'!X33</f>
        <v>108000000</v>
      </c>
      <c r="AU16" s="122">
        <f>'B. Institucionální podpora'!Y33</f>
        <v>84115460.582399994</v>
      </c>
      <c r="AV16" s="366">
        <f>'B. Institucionální podpora'!Z33</f>
        <v>595567026.50240004</v>
      </c>
      <c r="AW16" s="382">
        <f>'B. Institucionální podpora'!AA33</f>
        <v>492009198</v>
      </c>
      <c r="AX16" s="375">
        <f t="shared" si="14"/>
        <v>-19442367.920000017</v>
      </c>
      <c r="AY16" s="363">
        <f t="shared" si="30"/>
        <v>-103557828.50240004</v>
      </c>
      <c r="AZ16" s="407">
        <f>'C. Účelová podpora'!W38</f>
        <v>620000000</v>
      </c>
      <c r="BA16" s="122">
        <f>'C. Účelová podpora'!X38</f>
        <v>0</v>
      </c>
      <c r="BB16" s="122">
        <f>'C. Účelová podpora'!Y38</f>
        <v>0</v>
      </c>
      <c r="BC16" s="366">
        <f>'C. Účelová podpora'!Z38</f>
        <v>620000000</v>
      </c>
      <c r="BD16" s="382">
        <f>'C. Účelová podpora'!AA38</f>
        <v>339442368</v>
      </c>
      <c r="BE16" s="375">
        <f t="shared" si="15"/>
        <v>-280557632</v>
      </c>
      <c r="BF16" s="363">
        <f t="shared" si="31"/>
        <v>-280557632</v>
      </c>
      <c r="BG16" s="195">
        <f t="shared" si="16"/>
        <v>1131451565.9200001</v>
      </c>
      <c r="BH16" s="291">
        <f t="shared" si="17"/>
        <v>108000000</v>
      </c>
      <c r="BI16" s="304">
        <f t="shared" si="18"/>
        <v>84115460.582399994</v>
      </c>
      <c r="BJ16" s="369">
        <f t="shared" si="19"/>
        <v>1215567026.5023999</v>
      </c>
      <c r="BK16" s="371">
        <f t="shared" si="32"/>
        <v>831451566</v>
      </c>
      <c r="BL16" s="374">
        <f t="shared" si="20"/>
        <v>-299999999.92000008</v>
      </c>
      <c r="BM16" s="374">
        <f t="shared" si="21"/>
        <v>-384115460.50239992</v>
      </c>
    </row>
    <row r="17" spans="1:67" s="102" customFormat="1" ht="15.75" customHeight="1" x14ac:dyDescent="0.25">
      <c r="A17" s="118" t="s">
        <v>105</v>
      </c>
      <c r="B17" s="106">
        <f>'B. Institucionální podpora'!D35</f>
        <v>91412441</v>
      </c>
      <c r="C17" s="122">
        <f>'C. Účelová podpora'!D40</f>
        <v>0</v>
      </c>
      <c r="D17" s="201">
        <f t="shared" si="0"/>
        <v>91412441</v>
      </c>
      <c r="E17" s="208"/>
      <c r="F17" s="410">
        <f>'B. Institucionální podpora'!F35</f>
        <v>91412441</v>
      </c>
      <c r="G17" s="366">
        <f>'B. Institucionální podpora'!I35</f>
        <v>100553685.09999999</v>
      </c>
      <c r="H17" s="417">
        <f>'B. Institucionální podpora'!J35</f>
        <v>87896578</v>
      </c>
      <c r="I17" s="374">
        <f t="shared" si="1"/>
        <v>-3515863</v>
      </c>
      <c r="J17" s="363">
        <f t="shared" si="22"/>
        <v>-12657107.099999994</v>
      </c>
      <c r="K17" s="407">
        <f>'C. Účelová podpora'!F40</f>
        <v>0</v>
      </c>
      <c r="L17" s="366">
        <f>'C. Účelová podpora'!I40</f>
        <v>0</v>
      </c>
      <c r="M17" s="382">
        <f>'C. Účelová podpora'!J40</f>
        <v>0</v>
      </c>
      <c r="N17" s="395">
        <f t="shared" si="23"/>
        <v>0</v>
      </c>
      <c r="O17" s="363">
        <f t="shared" si="24"/>
        <v>0</v>
      </c>
      <c r="P17" s="195">
        <f t="shared" si="2"/>
        <v>91412441</v>
      </c>
      <c r="Q17" s="369">
        <f t="shared" si="3"/>
        <v>100553685.09999999</v>
      </c>
      <c r="R17" s="483">
        <f t="shared" si="25"/>
        <v>87896578</v>
      </c>
      <c r="S17" s="375">
        <f t="shared" si="4"/>
        <v>-3515863</v>
      </c>
      <c r="T17" s="374">
        <f t="shared" si="5"/>
        <v>-12657107.099999994</v>
      </c>
      <c r="U17" s="374">
        <f t="shared" si="26"/>
        <v>-3515863</v>
      </c>
      <c r="V17" s="208"/>
      <c r="W17" s="407">
        <f>'B. Institucionální podpora'!O35</f>
        <v>91412441</v>
      </c>
      <c r="X17" s="122">
        <f>'B. Institucionální podpora'!P35</f>
        <v>14219713</v>
      </c>
      <c r="Y17" s="122">
        <f>'B. Institucionální podpora'!Q35</f>
        <v>17185538.908</v>
      </c>
      <c r="Z17" s="366">
        <f>'B. Institucionální podpora'!R35</f>
        <v>108597979.90799999</v>
      </c>
      <c r="AA17" s="382">
        <f>'B. Institucionální podpora'!S35</f>
        <v>87896578</v>
      </c>
      <c r="AB17" s="375">
        <f t="shared" si="6"/>
        <v>-3515863</v>
      </c>
      <c r="AC17" s="363">
        <f t="shared" si="27"/>
        <v>-20701401.907999992</v>
      </c>
      <c r="AD17" s="407">
        <f>'C. Účelová podpora'!O40</f>
        <v>0</v>
      </c>
      <c r="AE17" s="122">
        <f>'C. Účelová podpora'!P40</f>
        <v>0</v>
      </c>
      <c r="AF17" s="122">
        <f>'C. Účelová podpora'!Q40</f>
        <v>0</v>
      </c>
      <c r="AG17" s="366">
        <f>'C. Účelová podpora'!R40</f>
        <v>0</v>
      </c>
      <c r="AH17" s="382">
        <f>'C. Účelová podpora'!S40</f>
        <v>0</v>
      </c>
      <c r="AI17" s="395">
        <f t="shared" si="7"/>
        <v>0</v>
      </c>
      <c r="AJ17" s="363">
        <f t="shared" si="28"/>
        <v>0</v>
      </c>
      <c r="AK17" s="195">
        <f t="shared" si="8"/>
        <v>91412441</v>
      </c>
      <c r="AL17" s="291">
        <f t="shared" si="9"/>
        <v>14219713</v>
      </c>
      <c r="AM17" s="304">
        <f t="shared" si="10"/>
        <v>17185538.908</v>
      </c>
      <c r="AN17" s="369">
        <f t="shared" si="11"/>
        <v>108597979.90799999</v>
      </c>
      <c r="AO17" s="371">
        <f t="shared" si="29"/>
        <v>87896578</v>
      </c>
      <c r="AP17" s="374">
        <f t="shared" si="12"/>
        <v>-3515863</v>
      </c>
      <c r="AQ17" s="374">
        <f t="shared" si="13"/>
        <v>-20701401.907999992</v>
      </c>
      <c r="AR17" s="208"/>
      <c r="AS17" s="407">
        <f>'B. Institucionální podpora'!W35</f>
        <v>91412441</v>
      </c>
      <c r="AT17" s="122">
        <f>'B. Institucionální podpora'!X35</f>
        <v>18444998</v>
      </c>
      <c r="AU17" s="122">
        <f>'B. Institucionální podpora'!Y35</f>
        <v>17185538.908</v>
      </c>
      <c r="AV17" s="366">
        <f>'B. Institucionální podpora'!Z35</f>
        <v>108597979.90799999</v>
      </c>
      <c r="AW17" s="382">
        <f>'B. Institucionální podpora'!AA35</f>
        <v>87896578</v>
      </c>
      <c r="AX17" s="375">
        <f t="shared" si="14"/>
        <v>-3515863</v>
      </c>
      <c r="AY17" s="363">
        <f t="shared" si="30"/>
        <v>-20701401.907999992</v>
      </c>
      <c r="AZ17" s="407">
        <f>'C. Účelová podpora'!W40</f>
        <v>0</v>
      </c>
      <c r="BA17" s="122">
        <f>'C. Účelová podpora'!X40</f>
        <v>0</v>
      </c>
      <c r="BB17" s="122">
        <f>'C. Účelová podpora'!Y40</f>
        <v>0</v>
      </c>
      <c r="BC17" s="366">
        <f>'C. Účelová podpora'!Z40</f>
        <v>0</v>
      </c>
      <c r="BD17" s="382">
        <f>'C. Účelová podpora'!AA40</f>
        <v>0</v>
      </c>
      <c r="BE17" s="395">
        <f t="shared" si="15"/>
        <v>0</v>
      </c>
      <c r="BF17" s="363">
        <f t="shared" si="31"/>
        <v>0</v>
      </c>
      <c r="BG17" s="195">
        <f t="shared" si="16"/>
        <v>91412441</v>
      </c>
      <c r="BH17" s="291">
        <f t="shared" si="17"/>
        <v>18444998</v>
      </c>
      <c r="BI17" s="304">
        <f t="shared" si="18"/>
        <v>17185538.908</v>
      </c>
      <c r="BJ17" s="369">
        <f t="shared" si="19"/>
        <v>108597979.90799999</v>
      </c>
      <c r="BK17" s="371">
        <f t="shared" si="32"/>
        <v>87896578</v>
      </c>
      <c r="BL17" s="374">
        <f t="shared" si="20"/>
        <v>-3515863</v>
      </c>
      <c r="BM17" s="374">
        <f t="shared" si="21"/>
        <v>-20701401.907999992</v>
      </c>
    </row>
    <row r="18" spans="1:67" s="102" customFormat="1" ht="15.75" customHeight="1" x14ac:dyDescent="0.25">
      <c r="A18" s="119" t="s">
        <v>106</v>
      </c>
      <c r="B18" s="106">
        <f>'B. Institucionální podpora'!D39</f>
        <v>553107167</v>
      </c>
      <c r="C18" s="122">
        <f>'C. Účelová podpora'!D43</f>
        <v>600000000</v>
      </c>
      <c r="D18" s="201">
        <f t="shared" si="0"/>
        <v>1153107167</v>
      </c>
      <c r="E18" s="208"/>
      <c r="F18" s="410">
        <f>'B. Institucionální podpora'!F39</f>
        <v>553107167</v>
      </c>
      <c r="G18" s="366">
        <f>'B. Institucionální podpora'!I39</f>
        <v>607869883.70000005</v>
      </c>
      <c r="H18" s="417">
        <f>'B. Institucionální podpora'!J39</f>
        <v>531232584</v>
      </c>
      <c r="I18" s="374">
        <f t="shared" si="1"/>
        <v>-21874583</v>
      </c>
      <c r="J18" s="363">
        <f t="shared" si="22"/>
        <v>-76637299.700000048</v>
      </c>
      <c r="K18" s="407">
        <f>'C. Účelová podpora'!F43</f>
        <v>600000000</v>
      </c>
      <c r="L18" s="366">
        <f>'C. Účelová podpora'!I43</f>
        <v>600000000</v>
      </c>
      <c r="M18" s="382">
        <f>'C. Účelová podpora'!J43</f>
        <v>540000000</v>
      </c>
      <c r="N18" s="375">
        <f t="shared" si="23"/>
        <v>-60000000</v>
      </c>
      <c r="O18" s="363">
        <f t="shared" si="24"/>
        <v>-60000000</v>
      </c>
      <c r="P18" s="195">
        <f t="shared" si="2"/>
        <v>1153107167</v>
      </c>
      <c r="Q18" s="369">
        <f t="shared" si="3"/>
        <v>1207869883.7</v>
      </c>
      <c r="R18" s="483">
        <f t="shared" si="25"/>
        <v>1071232584</v>
      </c>
      <c r="S18" s="375">
        <f t="shared" si="4"/>
        <v>-81874583</v>
      </c>
      <c r="T18" s="374">
        <f t="shared" si="5"/>
        <v>-136637299.70000005</v>
      </c>
      <c r="U18" s="374">
        <f t="shared" si="26"/>
        <v>-81874583</v>
      </c>
      <c r="V18" s="208"/>
      <c r="W18" s="407">
        <f>'B. Institucionální podpora'!O39</f>
        <v>553107167</v>
      </c>
      <c r="X18" s="122">
        <f>'B. Institucionální podpora'!P39</f>
        <v>192488609</v>
      </c>
      <c r="Y18" s="122">
        <f>'B. Institucionální podpora'!Q39</f>
        <v>102953907.396</v>
      </c>
      <c r="Z18" s="366">
        <f>'B. Institucionální podpora'!R39</f>
        <v>656061074.39600003</v>
      </c>
      <c r="AA18" s="382">
        <f>'B. Institucionální podpora'!S39</f>
        <v>531232584</v>
      </c>
      <c r="AB18" s="375">
        <f t="shared" si="6"/>
        <v>-21874583</v>
      </c>
      <c r="AC18" s="363">
        <f t="shared" si="27"/>
        <v>-124828490.39600003</v>
      </c>
      <c r="AD18" s="407">
        <f>'C. Účelová podpora'!O43</f>
        <v>600000000</v>
      </c>
      <c r="AE18" s="122">
        <f>'C. Účelová podpora'!P43</f>
        <v>0</v>
      </c>
      <c r="AF18" s="122">
        <f>'C. Účelová podpora'!Q43</f>
        <v>0</v>
      </c>
      <c r="AG18" s="366">
        <f>'C. Účelová podpora'!R43</f>
        <v>600000000</v>
      </c>
      <c r="AH18" s="382">
        <f>'C. Účelová podpora'!S43</f>
        <v>540000000</v>
      </c>
      <c r="AI18" s="375">
        <f t="shared" si="7"/>
        <v>-60000000</v>
      </c>
      <c r="AJ18" s="363">
        <f t="shared" si="28"/>
        <v>-60000000</v>
      </c>
      <c r="AK18" s="195">
        <f t="shared" si="8"/>
        <v>1153107167</v>
      </c>
      <c r="AL18" s="291">
        <f t="shared" si="9"/>
        <v>192488609</v>
      </c>
      <c r="AM18" s="304">
        <f t="shared" si="10"/>
        <v>102953907.396</v>
      </c>
      <c r="AN18" s="369">
        <f t="shared" si="11"/>
        <v>1256061074.3959999</v>
      </c>
      <c r="AO18" s="371">
        <f t="shared" si="29"/>
        <v>1071232584</v>
      </c>
      <c r="AP18" s="374">
        <f t="shared" si="12"/>
        <v>-81874583</v>
      </c>
      <c r="AQ18" s="374">
        <f t="shared" si="13"/>
        <v>-184828490.39599991</v>
      </c>
      <c r="AR18" s="208"/>
      <c r="AS18" s="407">
        <f>'B. Institucionální podpora'!W39</f>
        <v>553107167</v>
      </c>
      <c r="AT18" s="122">
        <f>'B. Institucionální podpora'!X39</f>
        <v>266500187</v>
      </c>
      <c r="AU18" s="122">
        <f>'B. Institucionální podpora'!Y39</f>
        <v>102953907.396</v>
      </c>
      <c r="AV18" s="366">
        <f>'B. Institucionální podpora'!Z39</f>
        <v>656061074.39600003</v>
      </c>
      <c r="AW18" s="382">
        <f>'B. Institucionální podpora'!AA39</f>
        <v>531232584</v>
      </c>
      <c r="AX18" s="375">
        <f t="shared" si="14"/>
        <v>-21874583</v>
      </c>
      <c r="AY18" s="363">
        <f t="shared" si="30"/>
        <v>-124828490.39600003</v>
      </c>
      <c r="AZ18" s="407">
        <f>'C. Účelová podpora'!W43</f>
        <v>600000000</v>
      </c>
      <c r="BA18" s="122">
        <f>'C. Účelová podpora'!X43</f>
        <v>0</v>
      </c>
      <c r="BB18" s="122">
        <f>'C. Účelová podpora'!Y43</f>
        <v>0</v>
      </c>
      <c r="BC18" s="366">
        <f>'C. Účelová podpora'!Z43</f>
        <v>600000000</v>
      </c>
      <c r="BD18" s="382">
        <f>'C. Účelová podpora'!AA43</f>
        <v>540000000</v>
      </c>
      <c r="BE18" s="375">
        <f t="shared" si="15"/>
        <v>-60000000</v>
      </c>
      <c r="BF18" s="363">
        <f t="shared" si="31"/>
        <v>-60000000</v>
      </c>
      <c r="BG18" s="195">
        <f t="shared" si="16"/>
        <v>1153107167</v>
      </c>
      <c r="BH18" s="291">
        <f t="shared" si="17"/>
        <v>266500187</v>
      </c>
      <c r="BI18" s="304">
        <f t="shared" si="18"/>
        <v>102953907.396</v>
      </c>
      <c r="BJ18" s="369">
        <f t="shared" si="19"/>
        <v>1256061074.3959999</v>
      </c>
      <c r="BK18" s="371">
        <f t="shared" si="32"/>
        <v>1071232584</v>
      </c>
      <c r="BL18" s="374">
        <f t="shared" si="20"/>
        <v>-81874583</v>
      </c>
      <c r="BM18" s="374">
        <f t="shared" si="21"/>
        <v>-184828490.39599991</v>
      </c>
    </row>
    <row r="19" spans="1:67" s="102" customFormat="1" ht="15.75" customHeight="1" x14ac:dyDescent="0.25">
      <c r="A19" s="119" t="s">
        <v>107</v>
      </c>
      <c r="B19" s="106">
        <f>'B. Institucionální podpora'!D47</f>
        <v>14091154616</v>
      </c>
      <c r="C19" s="122">
        <f>'C. Účelová podpora'!D55</f>
        <v>4423153457</v>
      </c>
      <c r="D19" s="201">
        <f t="shared" si="0"/>
        <v>18514308073</v>
      </c>
      <c r="E19" s="208"/>
      <c r="F19" s="410">
        <f>'B. Institucionální podpora'!F47</f>
        <v>14091154616</v>
      </c>
      <c r="G19" s="366">
        <f>'B. Institucionální podpora'!I47</f>
        <v>15156881404.559999</v>
      </c>
      <c r="H19" s="417">
        <f>'B. Institucionální podpora'!J47</f>
        <v>14226843569</v>
      </c>
      <c r="I19" s="187">
        <f t="shared" si="1"/>
        <v>135688953</v>
      </c>
      <c r="J19" s="363">
        <f t="shared" si="22"/>
        <v>-930037835.55999947</v>
      </c>
      <c r="K19" s="407">
        <f>'C. Účelová podpora'!F55</f>
        <v>4423153457</v>
      </c>
      <c r="L19" s="366">
        <f>'C. Účelová podpora'!I55</f>
        <v>4782509498</v>
      </c>
      <c r="M19" s="382">
        <f>'C. Účelová podpora'!J55</f>
        <v>4446637800</v>
      </c>
      <c r="N19" s="395">
        <f t="shared" si="23"/>
        <v>23484343</v>
      </c>
      <c r="O19" s="363">
        <f t="shared" si="24"/>
        <v>-335871698</v>
      </c>
      <c r="P19" s="195">
        <f t="shared" si="2"/>
        <v>18514308073</v>
      </c>
      <c r="Q19" s="369">
        <f t="shared" si="3"/>
        <v>19939390902.559998</v>
      </c>
      <c r="R19" s="483">
        <f t="shared" si="25"/>
        <v>18673481369</v>
      </c>
      <c r="S19" s="395">
        <f t="shared" si="4"/>
        <v>159173296</v>
      </c>
      <c r="T19" s="374">
        <f t="shared" si="5"/>
        <v>-1265909533.5599976</v>
      </c>
      <c r="U19" s="187">
        <f t="shared" si="26"/>
        <v>159173296</v>
      </c>
      <c r="V19" s="208"/>
      <c r="W19" s="407">
        <f>'B. Institucionální podpora'!O47</f>
        <v>14091154616</v>
      </c>
      <c r="X19" s="122">
        <f>'B. Institucionální podpora'!P47</f>
        <v>1136541511</v>
      </c>
      <c r="Y19" s="122">
        <f>'B. Institucionální podpora'!Q47</f>
        <v>1101541511.3024001</v>
      </c>
      <c r="Z19" s="366">
        <f>'B. Institucionální podpora'!R47</f>
        <v>15192696127.302401</v>
      </c>
      <c r="AA19" s="382">
        <f>'B. Institucionální podpora'!S47</f>
        <v>13126843569</v>
      </c>
      <c r="AB19" s="375">
        <f t="shared" si="6"/>
        <v>-964311047</v>
      </c>
      <c r="AC19" s="363">
        <f t="shared" si="27"/>
        <v>-2065852558.3024006</v>
      </c>
      <c r="AD19" s="407">
        <f>'C. Účelová podpora'!O55</f>
        <v>4423153457</v>
      </c>
      <c r="AE19" s="122">
        <f>'C. Účelová podpora'!P55</f>
        <v>3716216601</v>
      </c>
      <c r="AF19" s="122">
        <f>'C. Účelová podpora'!Q55</f>
        <v>1582662650</v>
      </c>
      <c r="AG19" s="366">
        <f>'C. Účelová podpora'!R55</f>
        <v>6005816107</v>
      </c>
      <c r="AH19" s="382">
        <f>'C. Účelová podpora'!S55</f>
        <v>4346637800</v>
      </c>
      <c r="AI19" s="375">
        <f t="shared" si="7"/>
        <v>-76515657</v>
      </c>
      <c r="AJ19" s="363">
        <f t="shared" si="28"/>
        <v>-1659178307</v>
      </c>
      <c r="AK19" s="195">
        <f t="shared" si="8"/>
        <v>18514308073</v>
      </c>
      <c r="AL19" s="291">
        <f t="shared" si="9"/>
        <v>4852758112</v>
      </c>
      <c r="AM19" s="304">
        <f t="shared" si="10"/>
        <v>2684204161.3024001</v>
      </c>
      <c r="AN19" s="369">
        <f t="shared" si="11"/>
        <v>21198512234.302399</v>
      </c>
      <c r="AO19" s="371">
        <f t="shared" si="29"/>
        <v>17473481369</v>
      </c>
      <c r="AP19" s="374">
        <f t="shared" si="12"/>
        <v>-1040826704</v>
      </c>
      <c r="AQ19" s="374">
        <f t="shared" si="13"/>
        <v>-3725030865.3023987</v>
      </c>
      <c r="AR19" s="208"/>
      <c r="AS19" s="407">
        <f>'B. Institucionální podpora'!W47</f>
        <v>14091154616</v>
      </c>
      <c r="AT19" s="122">
        <f>'B. Institucionální podpora'!X47</f>
        <v>923358836</v>
      </c>
      <c r="AU19" s="122">
        <f>'B. Institucionální podpora'!Y47</f>
        <v>455317511.30239999</v>
      </c>
      <c r="AV19" s="366">
        <f>'B. Institucionální podpora'!Z47</f>
        <v>14546472127.302401</v>
      </c>
      <c r="AW19" s="382">
        <f>'B. Institucionální podpora'!AA47</f>
        <v>13126843569</v>
      </c>
      <c r="AX19" s="375">
        <f t="shared" si="14"/>
        <v>-964311047</v>
      </c>
      <c r="AY19" s="363">
        <f t="shared" si="30"/>
        <v>-1419628558.3024006</v>
      </c>
      <c r="AZ19" s="407">
        <f>'C. Účelová podpora'!W55</f>
        <v>4423153457</v>
      </c>
      <c r="BA19" s="122">
        <f>'C. Účelová podpora'!X55</f>
        <v>4067524068</v>
      </c>
      <c r="BB19" s="122">
        <f>'C. Účelová podpora'!Y55</f>
        <v>1623662650</v>
      </c>
      <c r="BC19" s="366">
        <f>'C. Účelová podpora'!Z55</f>
        <v>6046816107</v>
      </c>
      <c r="BD19" s="382">
        <f>'C. Účelová podpora'!AA55</f>
        <v>4346637800</v>
      </c>
      <c r="BE19" s="375">
        <f t="shared" si="15"/>
        <v>-76515657</v>
      </c>
      <c r="BF19" s="363">
        <f t="shared" si="31"/>
        <v>-1700178307</v>
      </c>
      <c r="BG19" s="195">
        <f t="shared" si="16"/>
        <v>18514308073</v>
      </c>
      <c r="BH19" s="291">
        <f t="shared" si="17"/>
        <v>4990882904</v>
      </c>
      <c r="BI19" s="304">
        <f t="shared" si="18"/>
        <v>2078980161.3024001</v>
      </c>
      <c r="BJ19" s="369">
        <f t="shared" si="19"/>
        <v>20593288234.302399</v>
      </c>
      <c r="BK19" s="371">
        <f t="shared" si="32"/>
        <v>17473481369</v>
      </c>
      <c r="BL19" s="374">
        <f t="shared" si="20"/>
        <v>-1040826704</v>
      </c>
      <c r="BM19" s="374">
        <f t="shared" si="21"/>
        <v>-3119806865.3023987</v>
      </c>
    </row>
    <row r="20" spans="1:67" s="102" customFormat="1" ht="15.75" customHeight="1" x14ac:dyDescent="0.25">
      <c r="A20" s="119" t="s">
        <v>108</v>
      </c>
      <c r="B20" s="106">
        <f>'B. Institucionální podpora'!D50</f>
        <v>153950000</v>
      </c>
      <c r="C20" s="135">
        <f>'C. Účelová podpora'!D57</f>
        <v>342760000</v>
      </c>
      <c r="D20" s="202">
        <f t="shared" si="0"/>
        <v>496710000</v>
      </c>
      <c r="E20" s="209"/>
      <c r="F20" s="411">
        <f>'B. Institucionální podpora'!F50</f>
        <v>153950000</v>
      </c>
      <c r="G20" s="187">
        <f>'B. Institucionální podpora'!I50</f>
        <v>168866000</v>
      </c>
      <c r="H20" s="418">
        <f>'B. Institucionální podpora'!J50</f>
        <v>153952881</v>
      </c>
      <c r="I20" s="187">
        <f t="shared" si="1"/>
        <v>2881</v>
      </c>
      <c r="J20" s="363">
        <f t="shared" si="22"/>
        <v>-14913119</v>
      </c>
      <c r="K20" s="407">
        <f>'C. Účelová podpora'!F57</f>
        <v>342760000</v>
      </c>
      <c r="L20" s="366">
        <f>'C. Účelová podpora'!I57</f>
        <v>342760000</v>
      </c>
      <c r="M20" s="382">
        <f>'C. Účelová podpora'!J57</f>
        <v>342760000</v>
      </c>
      <c r="N20" s="395">
        <f t="shared" si="23"/>
        <v>0</v>
      </c>
      <c r="O20" s="363">
        <f t="shared" si="24"/>
        <v>0</v>
      </c>
      <c r="P20" s="195">
        <f t="shared" si="2"/>
        <v>496710000</v>
      </c>
      <c r="Q20" s="369">
        <f t="shared" si="3"/>
        <v>511626000</v>
      </c>
      <c r="R20" s="483">
        <f t="shared" si="25"/>
        <v>496712881</v>
      </c>
      <c r="S20" s="395">
        <f t="shared" si="4"/>
        <v>2881</v>
      </c>
      <c r="T20" s="374">
        <f t="shared" si="5"/>
        <v>-14913119</v>
      </c>
      <c r="U20" s="187">
        <f t="shared" si="26"/>
        <v>2881</v>
      </c>
      <c r="V20" s="208"/>
      <c r="W20" s="408">
        <f>'B. Institucionální podpora'!O50</f>
        <v>153950000</v>
      </c>
      <c r="X20" s="135">
        <f>'B. Institucionální podpora'!P50</f>
        <v>57550000</v>
      </c>
      <c r="Y20" s="135">
        <f>'B. Institucionální podpora'!Q50</f>
        <v>28285280</v>
      </c>
      <c r="Z20" s="187">
        <f>'B. Institucionální podpora'!R50</f>
        <v>182235280</v>
      </c>
      <c r="AA20" s="297">
        <f>'B. Institucionální podpora'!S50</f>
        <v>153952881</v>
      </c>
      <c r="AB20" s="395">
        <f t="shared" si="6"/>
        <v>2881</v>
      </c>
      <c r="AC20" s="363">
        <f t="shared" si="27"/>
        <v>-28282399</v>
      </c>
      <c r="AD20" s="407">
        <f>'C. Účelová podpora'!O57</f>
        <v>342760000</v>
      </c>
      <c r="AE20" s="122">
        <f>'C. Účelová podpora'!P57</f>
        <v>0</v>
      </c>
      <c r="AF20" s="122">
        <f>'C. Účelová podpora'!Q57</f>
        <v>0</v>
      </c>
      <c r="AG20" s="366">
        <f>'C. Účelová podpora'!R57</f>
        <v>342760000</v>
      </c>
      <c r="AH20" s="382">
        <f>'C. Účelová podpora'!S57</f>
        <v>342760000</v>
      </c>
      <c r="AI20" s="395">
        <f t="shared" si="7"/>
        <v>0</v>
      </c>
      <c r="AJ20" s="363">
        <f t="shared" si="28"/>
        <v>0</v>
      </c>
      <c r="AK20" s="195">
        <f t="shared" si="8"/>
        <v>496710000</v>
      </c>
      <c r="AL20" s="291">
        <f t="shared" si="9"/>
        <v>57550000</v>
      </c>
      <c r="AM20" s="304">
        <f t="shared" si="10"/>
        <v>28285280</v>
      </c>
      <c r="AN20" s="369">
        <f t="shared" si="11"/>
        <v>524995280</v>
      </c>
      <c r="AO20" s="371">
        <f t="shared" si="29"/>
        <v>496712881</v>
      </c>
      <c r="AP20" s="187">
        <f t="shared" si="12"/>
        <v>2881</v>
      </c>
      <c r="AQ20" s="374">
        <f t="shared" si="13"/>
        <v>-28282399</v>
      </c>
      <c r="AR20" s="208"/>
      <c r="AS20" s="408">
        <f>'B. Institucionální podpora'!W50</f>
        <v>153950000</v>
      </c>
      <c r="AT20" s="135">
        <f>'B. Institucionální podpora'!X50</f>
        <v>54550000</v>
      </c>
      <c r="AU20" s="135">
        <f>'B. Institucionální podpora'!Y50</f>
        <v>25285280</v>
      </c>
      <c r="AV20" s="187">
        <f>'B. Institucionální podpora'!Z50</f>
        <v>179235280</v>
      </c>
      <c r="AW20" s="297">
        <f>'B. Institucionální podpora'!AA50</f>
        <v>153952881</v>
      </c>
      <c r="AX20" s="395">
        <f t="shared" si="14"/>
        <v>2881</v>
      </c>
      <c r="AY20" s="363">
        <f t="shared" si="30"/>
        <v>-25282399</v>
      </c>
      <c r="AZ20" s="407">
        <f>'C. Účelová podpora'!W57</f>
        <v>342760000</v>
      </c>
      <c r="BA20" s="122">
        <f>'C. Účelová podpora'!X57</f>
        <v>27240000</v>
      </c>
      <c r="BB20" s="122">
        <f>'C. Účelová podpora'!Y57</f>
        <v>27240000</v>
      </c>
      <c r="BC20" s="366">
        <f>'C. Účelová podpora'!Z57</f>
        <v>370000000</v>
      </c>
      <c r="BD20" s="382">
        <f>'C. Účelová podpora'!AA57</f>
        <v>342760000</v>
      </c>
      <c r="BE20" s="395">
        <f t="shared" si="15"/>
        <v>0</v>
      </c>
      <c r="BF20" s="363">
        <f t="shared" si="31"/>
        <v>-27240000</v>
      </c>
      <c r="BG20" s="195">
        <f t="shared" si="16"/>
        <v>496710000</v>
      </c>
      <c r="BH20" s="291">
        <f t="shared" si="17"/>
        <v>81790000</v>
      </c>
      <c r="BI20" s="304">
        <f t="shared" si="18"/>
        <v>52525280</v>
      </c>
      <c r="BJ20" s="369">
        <f t="shared" si="19"/>
        <v>549235280</v>
      </c>
      <c r="BK20" s="371">
        <f t="shared" si="32"/>
        <v>496712881</v>
      </c>
      <c r="BL20" s="187">
        <f t="shared" si="20"/>
        <v>2881</v>
      </c>
      <c r="BM20" s="374">
        <f t="shared" si="21"/>
        <v>-52522399</v>
      </c>
    </row>
    <row r="21" spans="1:67" s="102" customFormat="1" ht="15.75" customHeight="1" x14ac:dyDescent="0.25">
      <c r="A21" s="119" t="s">
        <v>109</v>
      </c>
      <c r="B21" s="106">
        <f>'B. Institucionální podpora'!D54</f>
        <v>739045473</v>
      </c>
      <c r="C21" s="122">
        <f>'C. Účelová podpora'!D61</f>
        <v>1238359499</v>
      </c>
      <c r="D21" s="201">
        <f t="shared" si="0"/>
        <v>1977404972</v>
      </c>
      <c r="E21" s="208"/>
      <c r="F21" s="410">
        <f>'B. Institucionální podpora'!F54</f>
        <v>739045473</v>
      </c>
      <c r="G21" s="366">
        <f>'B. Institucionální podpora'!I54</f>
        <v>798529110.84000003</v>
      </c>
      <c r="H21" s="417">
        <f>'B. Institucionální podpora'!J54</f>
        <v>739045473</v>
      </c>
      <c r="I21" s="187">
        <f t="shared" si="1"/>
        <v>0</v>
      </c>
      <c r="J21" s="363">
        <f t="shared" si="22"/>
        <v>-59483637.840000033</v>
      </c>
      <c r="K21" s="407">
        <f>'C. Účelová podpora'!F61</f>
        <v>1238359499</v>
      </c>
      <c r="L21" s="366">
        <f>'C. Účelová podpora'!I61</f>
        <v>1388359499</v>
      </c>
      <c r="M21" s="382">
        <f>'C. Účelová podpora'!J61</f>
        <v>1238359499</v>
      </c>
      <c r="N21" s="395">
        <f t="shared" si="23"/>
        <v>0</v>
      </c>
      <c r="O21" s="363">
        <f t="shared" si="24"/>
        <v>-150000000</v>
      </c>
      <c r="P21" s="195">
        <f t="shared" si="2"/>
        <v>1977404972</v>
      </c>
      <c r="Q21" s="369">
        <f t="shared" si="3"/>
        <v>2186888609.8400002</v>
      </c>
      <c r="R21" s="483">
        <f t="shared" si="25"/>
        <v>1977404972</v>
      </c>
      <c r="S21" s="395">
        <f t="shared" si="4"/>
        <v>0</v>
      </c>
      <c r="T21" s="374">
        <f t="shared" si="5"/>
        <v>-209483637.84000015</v>
      </c>
      <c r="U21" s="187">
        <f t="shared" si="26"/>
        <v>0</v>
      </c>
      <c r="V21" s="208"/>
      <c r="W21" s="407">
        <f>'B. Institucionální podpora'!O54</f>
        <v>739045473</v>
      </c>
      <c r="X21" s="122">
        <f>'B. Institucionální podpora'!P54</f>
        <v>68096469</v>
      </c>
      <c r="Y21" s="122">
        <f>'B. Institucionální podpora'!Q54</f>
        <v>121565966.70720001</v>
      </c>
      <c r="Z21" s="366">
        <f>'B. Institucionální podpora'!R54</f>
        <v>860611439.70720005</v>
      </c>
      <c r="AA21" s="382">
        <f>'B. Institucionální podpora'!S54</f>
        <v>704915416</v>
      </c>
      <c r="AB21" s="375">
        <f t="shared" si="6"/>
        <v>-34130057</v>
      </c>
      <c r="AC21" s="363">
        <f t="shared" si="27"/>
        <v>-155696023.70720005</v>
      </c>
      <c r="AD21" s="407">
        <f>'C. Účelová podpora'!O61</f>
        <v>1238359499</v>
      </c>
      <c r="AE21" s="122">
        <f>'C. Účelová podpora'!P61</f>
        <v>211640501</v>
      </c>
      <c r="AF21" s="122">
        <f>'C. Účelová podpora'!Q61</f>
        <v>165000000</v>
      </c>
      <c r="AG21" s="366">
        <f>'C. Účelová podpora'!R61</f>
        <v>1403359499</v>
      </c>
      <c r="AH21" s="382">
        <f>'C. Účelová podpora'!S61</f>
        <v>1138359499</v>
      </c>
      <c r="AI21" s="375">
        <f t="shared" si="7"/>
        <v>-100000000</v>
      </c>
      <c r="AJ21" s="363">
        <f t="shared" si="28"/>
        <v>-265000000</v>
      </c>
      <c r="AK21" s="195">
        <f t="shared" si="8"/>
        <v>1977404972</v>
      </c>
      <c r="AL21" s="291">
        <f t="shared" si="9"/>
        <v>279736970</v>
      </c>
      <c r="AM21" s="304">
        <f t="shared" si="10"/>
        <v>286565966.70719999</v>
      </c>
      <c r="AN21" s="369">
        <f t="shared" si="11"/>
        <v>2263970938.7072001</v>
      </c>
      <c r="AO21" s="371">
        <f t="shared" si="29"/>
        <v>1843274915</v>
      </c>
      <c r="AP21" s="374">
        <f t="shared" si="12"/>
        <v>-134130057</v>
      </c>
      <c r="AQ21" s="374">
        <f t="shared" si="13"/>
        <v>-420696023.70720005</v>
      </c>
      <c r="AR21" s="208"/>
      <c r="AS21" s="407">
        <f>'B. Institucionální podpora'!W54</f>
        <v>739045473</v>
      </c>
      <c r="AT21" s="122">
        <f>'B. Institucionální podpora'!X54</f>
        <v>83789308</v>
      </c>
      <c r="AU21" s="122">
        <f>'B. Institucionální podpora'!Y54</f>
        <v>121565966.70720001</v>
      </c>
      <c r="AV21" s="366">
        <f>'B. Institucionální podpora'!Z54</f>
        <v>860611439.70720005</v>
      </c>
      <c r="AW21" s="382">
        <f>'B. Institucionální podpora'!AA54</f>
        <v>704915416</v>
      </c>
      <c r="AX21" s="375">
        <f t="shared" si="14"/>
        <v>-34130057</v>
      </c>
      <c r="AY21" s="363">
        <f t="shared" si="30"/>
        <v>-155696023.70720005</v>
      </c>
      <c r="AZ21" s="407">
        <f>'C. Účelová podpora'!W61</f>
        <v>1238359499</v>
      </c>
      <c r="BA21" s="122">
        <f>'C. Účelová podpora'!X61</f>
        <v>211640501</v>
      </c>
      <c r="BB21" s="122">
        <f>'C. Účelová podpora'!Y61</f>
        <v>165000000</v>
      </c>
      <c r="BC21" s="366">
        <f>'C. Účelová podpora'!Z61</f>
        <v>1403359499</v>
      </c>
      <c r="BD21" s="382">
        <f>'C. Účelová podpora'!AA61</f>
        <v>1138359499</v>
      </c>
      <c r="BE21" s="375">
        <f t="shared" si="15"/>
        <v>-100000000</v>
      </c>
      <c r="BF21" s="363">
        <f t="shared" si="31"/>
        <v>-265000000</v>
      </c>
      <c r="BG21" s="195">
        <f t="shared" si="16"/>
        <v>1977404972</v>
      </c>
      <c r="BH21" s="291">
        <f t="shared" si="17"/>
        <v>295429809</v>
      </c>
      <c r="BI21" s="304">
        <f t="shared" si="18"/>
        <v>286565966.70719999</v>
      </c>
      <c r="BJ21" s="369">
        <f t="shared" si="19"/>
        <v>2263970938.7072001</v>
      </c>
      <c r="BK21" s="371">
        <f t="shared" si="32"/>
        <v>1843274915</v>
      </c>
      <c r="BL21" s="374">
        <f t="shared" si="20"/>
        <v>-134130057</v>
      </c>
      <c r="BM21" s="374">
        <f t="shared" si="21"/>
        <v>-420696023.70720005</v>
      </c>
      <c r="BO21" s="184"/>
    </row>
    <row r="22" spans="1:67" s="102" customFormat="1" ht="15.75" customHeight="1" x14ac:dyDescent="0.25">
      <c r="A22" s="152" t="s">
        <v>118</v>
      </c>
      <c r="B22" s="136">
        <f>'B. Institucionální podpora'!D56</f>
        <v>13553409</v>
      </c>
      <c r="C22" s="135">
        <f>'C. Účelová podpora'!D63</f>
        <v>0</v>
      </c>
      <c r="D22" s="202">
        <f t="shared" si="0"/>
        <v>13553409</v>
      </c>
      <c r="E22" s="209"/>
      <c r="F22" s="411">
        <f>'B. Institucionální podpora'!F56</f>
        <v>13553409</v>
      </c>
      <c r="G22" s="187">
        <f>'B. Institucionální podpora'!I56</f>
        <v>16264090.800000001</v>
      </c>
      <c r="H22" s="418">
        <f>'B. Institucionální podpora'!J56</f>
        <v>13032124</v>
      </c>
      <c r="I22" s="374">
        <f t="shared" si="1"/>
        <v>-521285</v>
      </c>
      <c r="J22" s="363">
        <f t="shared" si="22"/>
        <v>-3231966.8000000007</v>
      </c>
      <c r="K22" s="408">
        <f>'C. Účelová podpora'!F63</f>
        <v>0</v>
      </c>
      <c r="L22" s="187">
        <f>'C. Účelová podpora'!I63</f>
        <v>0</v>
      </c>
      <c r="M22" s="297">
        <f>'C. Účelová podpora'!J63</f>
        <v>0</v>
      </c>
      <c r="N22" s="395">
        <f t="shared" si="23"/>
        <v>0</v>
      </c>
      <c r="O22" s="363">
        <f t="shared" si="24"/>
        <v>0</v>
      </c>
      <c r="P22" s="196">
        <f t="shared" si="2"/>
        <v>13553409</v>
      </c>
      <c r="Q22" s="369">
        <f t="shared" si="3"/>
        <v>16264090.800000001</v>
      </c>
      <c r="R22" s="483">
        <f t="shared" si="25"/>
        <v>13032124</v>
      </c>
      <c r="S22" s="375">
        <f t="shared" si="4"/>
        <v>-521285</v>
      </c>
      <c r="T22" s="374">
        <f t="shared" si="5"/>
        <v>-3231966.8000000007</v>
      </c>
      <c r="U22" s="374">
        <f t="shared" si="26"/>
        <v>-521285</v>
      </c>
      <c r="V22" s="209"/>
      <c r="W22" s="408">
        <f>'B. Institucionální podpora'!O56</f>
        <v>13553409</v>
      </c>
      <c r="X22" s="135">
        <f>'B. Institucionální podpora'!P56</f>
        <v>3523887</v>
      </c>
      <c r="Y22" s="135">
        <f>'B. Institucionální podpora'!Q56</f>
        <v>4011809.0640000002</v>
      </c>
      <c r="Z22" s="187">
        <f>'B. Institucionální podpora'!R56</f>
        <v>17565218.063999999</v>
      </c>
      <c r="AA22" s="297">
        <f>'B. Institucionální podpora'!S56</f>
        <v>13032124</v>
      </c>
      <c r="AB22" s="375">
        <f t="shared" si="6"/>
        <v>-521285</v>
      </c>
      <c r="AC22" s="363">
        <f t="shared" si="27"/>
        <v>-4533094.0639999993</v>
      </c>
      <c r="AD22" s="408">
        <f>'C. Účelová podpora'!O63</f>
        <v>0</v>
      </c>
      <c r="AE22" s="135">
        <f>'C. Účelová podpora'!P63</f>
        <v>0</v>
      </c>
      <c r="AF22" s="135">
        <f>'C. Účelová podpora'!Q63</f>
        <v>0</v>
      </c>
      <c r="AG22" s="187">
        <f>'C. Účelová podpora'!R63</f>
        <v>0</v>
      </c>
      <c r="AH22" s="297">
        <f>'C. Účelová podpora'!S63</f>
        <v>0</v>
      </c>
      <c r="AI22" s="395">
        <f t="shared" si="7"/>
        <v>0</v>
      </c>
      <c r="AJ22" s="363">
        <f t="shared" si="28"/>
        <v>0</v>
      </c>
      <c r="AK22" s="196">
        <f t="shared" si="8"/>
        <v>13553409</v>
      </c>
      <c r="AL22" s="291">
        <f t="shared" si="9"/>
        <v>3523887</v>
      </c>
      <c r="AM22" s="304">
        <f t="shared" si="10"/>
        <v>4011809.0640000002</v>
      </c>
      <c r="AN22" s="369">
        <f t="shared" si="11"/>
        <v>17565218.063999999</v>
      </c>
      <c r="AO22" s="371">
        <f t="shared" si="29"/>
        <v>13032124</v>
      </c>
      <c r="AP22" s="374">
        <f t="shared" si="12"/>
        <v>-521285</v>
      </c>
      <c r="AQ22" s="374">
        <f t="shared" si="13"/>
        <v>-4533094.0639999993</v>
      </c>
      <c r="AR22" s="209"/>
      <c r="AS22" s="408">
        <f>'B. Institucionální podpora'!W56</f>
        <v>13553409</v>
      </c>
      <c r="AT22" s="135">
        <f>'B. Institucionální podpora'!X56</f>
        <v>4377752</v>
      </c>
      <c r="AU22" s="135">
        <f>'B. Institucionální podpora'!Y56</f>
        <v>4011809.0640000002</v>
      </c>
      <c r="AV22" s="187">
        <f>'B. Institucionální podpora'!Z56</f>
        <v>17565218.063999999</v>
      </c>
      <c r="AW22" s="297">
        <f>'B. Institucionální podpora'!AA56</f>
        <v>13032124</v>
      </c>
      <c r="AX22" s="375">
        <f t="shared" si="14"/>
        <v>-521285</v>
      </c>
      <c r="AY22" s="363">
        <f t="shared" si="30"/>
        <v>-4533094.0639999993</v>
      </c>
      <c r="AZ22" s="408">
        <f>'C. Účelová podpora'!W63</f>
        <v>0</v>
      </c>
      <c r="BA22" s="135">
        <f>'C. Účelová podpora'!X63</f>
        <v>0</v>
      </c>
      <c r="BB22" s="135">
        <f>'C. Účelová podpora'!Y63</f>
        <v>0</v>
      </c>
      <c r="BC22" s="187">
        <f>'C. Účelová podpora'!Z63</f>
        <v>0</v>
      </c>
      <c r="BD22" s="297">
        <f>'C. Účelová podpora'!AA63</f>
        <v>0</v>
      </c>
      <c r="BE22" s="395">
        <f t="shared" si="15"/>
        <v>0</v>
      </c>
      <c r="BF22" s="363">
        <f t="shared" si="31"/>
        <v>0</v>
      </c>
      <c r="BG22" s="196">
        <f t="shared" si="16"/>
        <v>13553409</v>
      </c>
      <c r="BH22" s="291">
        <f t="shared" si="17"/>
        <v>4377752</v>
      </c>
      <c r="BI22" s="304">
        <f t="shared" si="18"/>
        <v>4011809.0640000002</v>
      </c>
      <c r="BJ22" s="369">
        <f t="shared" si="19"/>
        <v>17565218.063999999</v>
      </c>
      <c r="BK22" s="371">
        <f t="shared" si="32"/>
        <v>13032124</v>
      </c>
      <c r="BL22" s="374">
        <f t="shared" si="20"/>
        <v>-521285</v>
      </c>
      <c r="BM22" s="374">
        <f t="shared" si="21"/>
        <v>-4533094.0639999993</v>
      </c>
    </row>
    <row r="23" spans="1:67" s="102" customFormat="1" ht="15.75" customHeight="1" x14ac:dyDescent="0.25">
      <c r="A23" s="120" t="s">
        <v>110</v>
      </c>
      <c r="B23" s="106">
        <f>'B. Institucionální podpora'!D62</f>
        <v>7952170393</v>
      </c>
      <c r="C23" s="122">
        <f>'C. Účelová podpora'!D65</f>
        <v>0</v>
      </c>
      <c r="D23" s="201">
        <f t="shared" si="0"/>
        <v>7952170393</v>
      </c>
      <c r="E23" s="208"/>
      <c r="F23" s="410">
        <f>'B. Institucionální podpora'!F62</f>
        <v>7952170393</v>
      </c>
      <c r="G23" s="366">
        <f>'B. Institucionální podpora'!I62</f>
        <v>8289199274.1199999</v>
      </c>
      <c r="H23" s="417">
        <f>'B. Institucionální podpora'!J62</f>
        <v>8142170393</v>
      </c>
      <c r="I23" s="187">
        <f t="shared" si="1"/>
        <v>190000000</v>
      </c>
      <c r="J23" s="363">
        <f t="shared" si="22"/>
        <v>-147028881.11999989</v>
      </c>
      <c r="K23" s="407">
        <f>'C. Účelová podpora'!F65</f>
        <v>0</v>
      </c>
      <c r="L23" s="366">
        <f>'C. Účelová podpora'!I65</f>
        <v>0</v>
      </c>
      <c r="M23" s="382">
        <f>'C. Účelová podpora'!J65</f>
        <v>0</v>
      </c>
      <c r="N23" s="395">
        <f t="shared" si="23"/>
        <v>0</v>
      </c>
      <c r="O23" s="363">
        <f t="shared" si="24"/>
        <v>0</v>
      </c>
      <c r="P23" s="195">
        <f t="shared" si="2"/>
        <v>7952170393</v>
      </c>
      <c r="Q23" s="369">
        <f t="shared" si="3"/>
        <v>8289199274.1199999</v>
      </c>
      <c r="R23" s="483">
        <f t="shared" si="25"/>
        <v>8142170393</v>
      </c>
      <c r="S23" s="395">
        <f t="shared" si="4"/>
        <v>190000000</v>
      </c>
      <c r="T23" s="374">
        <f t="shared" si="5"/>
        <v>-147028881.11999989</v>
      </c>
      <c r="U23" s="187">
        <f t="shared" si="26"/>
        <v>190000000</v>
      </c>
      <c r="V23" s="208"/>
      <c r="W23" s="407">
        <f>'B. Institucionální podpora'!O62</f>
        <v>7952170393</v>
      </c>
      <c r="X23" s="122">
        <f>'B. Institucionální podpora'!P62</f>
        <v>1000897104</v>
      </c>
      <c r="Y23" s="122">
        <f>'B. Institucionální podpora'!Q62</f>
        <v>603538917.48479998</v>
      </c>
      <c r="Z23" s="366">
        <f>'B. Institucionální podpora'!R62</f>
        <v>8555709310.4848003</v>
      </c>
      <c r="AA23" s="382">
        <f>'B. Institucionální podpora'!S62</f>
        <v>7642170393</v>
      </c>
      <c r="AB23" s="375">
        <f t="shared" si="6"/>
        <v>-310000000</v>
      </c>
      <c r="AC23" s="363">
        <f t="shared" si="27"/>
        <v>-913538917.48480034</v>
      </c>
      <c r="AD23" s="407">
        <f>'C. Účelová podpora'!O65</f>
        <v>0</v>
      </c>
      <c r="AE23" s="122">
        <f>'C. Účelová podpora'!P65</f>
        <v>0</v>
      </c>
      <c r="AF23" s="122">
        <f>'C. Účelová podpora'!Q65</f>
        <v>0</v>
      </c>
      <c r="AG23" s="366">
        <f>'C. Účelová podpora'!R65</f>
        <v>0</v>
      </c>
      <c r="AH23" s="382">
        <f>'C. Účelová podpora'!S65</f>
        <v>0</v>
      </c>
      <c r="AI23" s="395">
        <f t="shared" si="7"/>
        <v>0</v>
      </c>
      <c r="AJ23" s="363">
        <f t="shared" si="28"/>
        <v>0</v>
      </c>
      <c r="AK23" s="195">
        <f t="shared" si="8"/>
        <v>7952170393</v>
      </c>
      <c r="AL23" s="291">
        <f t="shared" si="9"/>
        <v>1000897104</v>
      </c>
      <c r="AM23" s="304">
        <f t="shared" si="10"/>
        <v>603538917.48479998</v>
      </c>
      <c r="AN23" s="369">
        <f t="shared" si="11"/>
        <v>8555709310.4848003</v>
      </c>
      <c r="AO23" s="371">
        <f t="shared" si="29"/>
        <v>7642170393</v>
      </c>
      <c r="AP23" s="374">
        <f t="shared" si="12"/>
        <v>-310000000</v>
      </c>
      <c r="AQ23" s="374">
        <f t="shared" si="13"/>
        <v>-913538917.48480034</v>
      </c>
      <c r="AR23" s="208"/>
      <c r="AS23" s="407">
        <f>'B. Institucionální podpora'!W62</f>
        <v>7952170393</v>
      </c>
      <c r="AT23" s="122">
        <f>'B. Institucionální podpora'!X62</f>
        <v>1351091804</v>
      </c>
      <c r="AU23" s="122">
        <f>'B. Institucionální podpora'!Y62</f>
        <v>603538917.48479998</v>
      </c>
      <c r="AV23" s="366">
        <f>'B. Institucionální podpora'!Z62</f>
        <v>8555709310.4848003</v>
      </c>
      <c r="AW23" s="382">
        <f>'B. Institucionální podpora'!AA62</f>
        <v>7642170393</v>
      </c>
      <c r="AX23" s="375">
        <f t="shared" si="14"/>
        <v>-310000000</v>
      </c>
      <c r="AY23" s="363">
        <f t="shared" si="30"/>
        <v>-913538917.48480034</v>
      </c>
      <c r="AZ23" s="407">
        <f>'C. Účelová podpora'!W65</f>
        <v>0</v>
      </c>
      <c r="BA23" s="122">
        <f>'C. Účelová podpora'!X65</f>
        <v>0</v>
      </c>
      <c r="BB23" s="122">
        <f>'C. Účelová podpora'!Y65</f>
        <v>0</v>
      </c>
      <c r="BC23" s="366">
        <f>'C. Účelová podpora'!Z65</f>
        <v>0</v>
      </c>
      <c r="BD23" s="382">
        <f>'C. Účelová podpora'!AA65</f>
        <v>0</v>
      </c>
      <c r="BE23" s="395">
        <f t="shared" si="15"/>
        <v>0</v>
      </c>
      <c r="BF23" s="363">
        <f t="shared" si="31"/>
        <v>0</v>
      </c>
      <c r="BG23" s="195">
        <f t="shared" si="16"/>
        <v>7952170393</v>
      </c>
      <c r="BH23" s="291">
        <f t="shared" si="17"/>
        <v>1351091804</v>
      </c>
      <c r="BI23" s="304">
        <f t="shared" si="18"/>
        <v>603538917.48479998</v>
      </c>
      <c r="BJ23" s="369">
        <f t="shared" si="19"/>
        <v>8555709310.4848003</v>
      </c>
      <c r="BK23" s="371">
        <f t="shared" si="32"/>
        <v>7642170393</v>
      </c>
      <c r="BL23" s="374">
        <f t="shared" si="20"/>
        <v>-310000000</v>
      </c>
      <c r="BM23" s="374">
        <f t="shared" si="21"/>
        <v>-913538917.48480034</v>
      </c>
    </row>
    <row r="24" spans="1:67" s="102" customFormat="1" ht="15.75" customHeight="1" thickBot="1" x14ac:dyDescent="0.3">
      <c r="A24" s="119" t="s">
        <v>111</v>
      </c>
      <c r="B24" s="106">
        <f>'B. Institucionální podpora'!D64</f>
        <v>203058020</v>
      </c>
      <c r="C24" s="122">
        <f>'C. Účelová podpora'!D81</f>
        <v>5335948218</v>
      </c>
      <c r="D24" s="201">
        <f t="shared" si="0"/>
        <v>5539006238</v>
      </c>
      <c r="E24" s="208"/>
      <c r="F24" s="410">
        <f>'B. Institucionální podpora'!F64</f>
        <v>203058020</v>
      </c>
      <c r="G24" s="366">
        <f>'B. Institucionální podpora'!I64</f>
        <v>203058020</v>
      </c>
      <c r="H24" s="419">
        <f>'B. Institucionální podpora'!J64</f>
        <v>203058020</v>
      </c>
      <c r="I24" s="446">
        <f t="shared" si="1"/>
        <v>0</v>
      </c>
      <c r="J24" s="363">
        <f t="shared" si="22"/>
        <v>0</v>
      </c>
      <c r="K24" s="407">
        <f>'C. Účelová podpora'!F81</f>
        <v>5625140066</v>
      </c>
      <c r="L24" s="366">
        <f>'C. Účelová podpora'!I81</f>
        <v>6276140066</v>
      </c>
      <c r="M24" s="382">
        <f>'C. Účelová podpora'!J81</f>
        <v>5374190425</v>
      </c>
      <c r="N24" s="375">
        <f t="shared" si="23"/>
        <v>-250949641</v>
      </c>
      <c r="O24" s="363">
        <f t="shared" si="24"/>
        <v>-901949641</v>
      </c>
      <c r="P24" s="195">
        <f t="shared" si="2"/>
        <v>5828198086</v>
      </c>
      <c r="Q24" s="369">
        <f t="shared" si="3"/>
        <v>6479198086</v>
      </c>
      <c r="R24" s="483">
        <f t="shared" si="25"/>
        <v>5577248445</v>
      </c>
      <c r="S24" s="375">
        <f t="shared" si="4"/>
        <v>-250949641</v>
      </c>
      <c r="T24" s="374">
        <f t="shared" si="5"/>
        <v>-901949641</v>
      </c>
      <c r="U24" s="187">
        <f t="shared" si="26"/>
        <v>38242207</v>
      </c>
      <c r="V24" s="208"/>
      <c r="W24" s="407">
        <f>'B. Institucionální podpora'!O64</f>
        <v>203058020</v>
      </c>
      <c r="X24" s="122">
        <f>'B. Institucionální podpora'!P64</f>
        <v>15000000</v>
      </c>
      <c r="Y24" s="122">
        <f>'B. Institucionální podpora'!Q64</f>
        <v>10000000</v>
      </c>
      <c r="Z24" s="366">
        <f>'B. Institucionální podpora'!R64</f>
        <v>213058020</v>
      </c>
      <c r="AA24" s="382">
        <f>'B. Institucionální podpora'!S64</f>
        <v>213058020</v>
      </c>
      <c r="AB24" s="395">
        <f t="shared" si="6"/>
        <v>10000000</v>
      </c>
      <c r="AC24" s="363">
        <f t="shared" si="27"/>
        <v>0</v>
      </c>
      <c r="AD24" s="407">
        <f>'C. Účelová podpora'!O81</f>
        <v>5845140066</v>
      </c>
      <c r="AE24" s="122">
        <f>'C. Účelová podpora'!P81</f>
        <v>2304100000</v>
      </c>
      <c r="AF24" s="122">
        <f>'C. Účelová podpora'!Q81</f>
        <v>1778625904</v>
      </c>
      <c r="AG24" s="366">
        <f>'C. Účelová podpora'!R81</f>
        <v>7623765970</v>
      </c>
      <c r="AH24" s="382">
        <f>'C. Účelová podpora'!S81</f>
        <v>4984190425</v>
      </c>
      <c r="AI24" s="375">
        <f t="shared" si="7"/>
        <v>-860949641</v>
      </c>
      <c r="AJ24" s="363">
        <f t="shared" si="28"/>
        <v>-2639575545</v>
      </c>
      <c r="AK24" s="195">
        <f t="shared" si="8"/>
        <v>6048198086</v>
      </c>
      <c r="AL24" s="291">
        <f t="shared" si="9"/>
        <v>2319100000</v>
      </c>
      <c r="AM24" s="304">
        <f t="shared" si="10"/>
        <v>1788625904</v>
      </c>
      <c r="AN24" s="369">
        <f t="shared" si="11"/>
        <v>7836823990</v>
      </c>
      <c r="AO24" s="371">
        <f t="shared" si="29"/>
        <v>5197248445</v>
      </c>
      <c r="AP24" s="374">
        <f t="shared" si="12"/>
        <v>-850949641</v>
      </c>
      <c r="AQ24" s="374">
        <f t="shared" si="13"/>
        <v>-2639575545</v>
      </c>
      <c r="AR24" s="208"/>
      <c r="AS24" s="422">
        <f>'B. Institucionální podpora'!W64</f>
        <v>203058020</v>
      </c>
      <c r="AT24" s="294">
        <f>'B. Institucionální podpora'!X64</f>
        <v>35000000</v>
      </c>
      <c r="AU24" s="294">
        <f>'B. Institucionální podpora'!Y64</f>
        <v>20000000</v>
      </c>
      <c r="AV24" s="372">
        <f>'B. Institucionální podpora'!Z64</f>
        <v>223058020</v>
      </c>
      <c r="AW24" s="383">
        <f>'B. Institucionální podpora'!AA64</f>
        <v>223058020</v>
      </c>
      <c r="AX24" s="395">
        <f t="shared" si="14"/>
        <v>20000000</v>
      </c>
      <c r="AY24" s="363">
        <f t="shared" si="30"/>
        <v>0</v>
      </c>
      <c r="AZ24" s="407">
        <f>'C. Účelová podpora'!W81</f>
        <v>5845140066</v>
      </c>
      <c r="BA24" s="122">
        <f>'C. Účelová podpora'!X81</f>
        <v>2728500000</v>
      </c>
      <c r="BB24" s="122">
        <f>'C. Účelová podpora'!Y81</f>
        <v>2423077589</v>
      </c>
      <c r="BC24" s="366">
        <f>'C. Účelová podpora'!Z81</f>
        <v>8268217655</v>
      </c>
      <c r="BD24" s="382">
        <f>'C. Účelová podpora'!AA81</f>
        <v>5064190425</v>
      </c>
      <c r="BE24" s="375">
        <f t="shared" si="15"/>
        <v>-780949641</v>
      </c>
      <c r="BF24" s="363">
        <f t="shared" si="31"/>
        <v>-3204027230</v>
      </c>
      <c r="BG24" s="195">
        <f t="shared" si="16"/>
        <v>6048198086</v>
      </c>
      <c r="BH24" s="291">
        <f t="shared" si="17"/>
        <v>2763500000</v>
      </c>
      <c r="BI24" s="304">
        <f t="shared" si="18"/>
        <v>2443077589</v>
      </c>
      <c r="BJ24" s="369">
        <f t="shared" si="19"/>
        <v>8491275675</v>
      </c>
      <c r="BK24" s="371">
        <f t="shared" si="32"/>
        <v>5287248445</v>
      </c>
      <c r="BL24" s="415">
        <f t="shared" si="20"/>
        <v>-760949641</v>
      </c>
      <c r="BM24" s="374">
        <f t="shared" si="21"/>
        <v>-3204027230</v>
      </c>
    </row>
    <row r="25" spans="1:67" s="102" customFormat="1" ht="15.75" customHeight="1" thickBot="1" x14ac:dyDescent="0.3">
      <c r="A25" s="157" t="s">
        <v>35</v>
      </c>
      <c r="B25" s="171">
        <f>SUM(B9:B24)</f>
        <v>25180337863</v>
      </c>
      <c r="C25" s="174">
        <f>SUM(C9:C24)</f>
        <v>18124819593</v>
      </c>
      <c r="D25" s="203">
        <f>SUM(D9:D24)</f>
        <v>43305157456</v>
      </c>
      <c r="E25" s="210"/>
      <c r="F25" s="412">
        <f t="shared" ref="F25:AQ25" si="33">SUM(F9:F24)</f>
        <v>25161146015</v>
      </c>
      <c r="G25" s="306">
        <f t="shared" si="33"/>
        <v>26880857000.439999</v>
      </c>
      <c r="H25" s="361">
        <f>SUM(H9:H24)</f>
        <v>25545983177</v>
      </c>
      <c r="I25" s="364">
        <f t="shared" si="33"/>
        <v>384837162</v>
      </c>
      <c r="J25" s="306">
        <f t="shared" si="33"/>
        <v>-1334873823.4399993</v>
      </c>
      <c r="K25" s="197">
        <f t="shared" si="33"/>
        <v>18494011441</v>
      </c>
      <c r="L25" s="306">
        <f t="shared" si="33"/>
        <v>19889367482</v>
      </c>
      <c r="M25" s="361">
        <f>SUM(M9:M24)</f>
        <v>17972988511</v>
      </c>
      <c r="N25" s="380">
        <f t="shared" si="33"/>
        <v>-521022930</v>
      </c>
      <c r="O25" s="306">
        <f t="shared" si="33"/>
        <v>-1916378971</v>
      </c>
      <c r="P25" s="197">
        <f t="shared" si="33"/>
        <v>43655157456</v>
      </c>
      <c r="Q25" s="359">
        <f t="shared" si="33"/>
        <v>46770224482.440002</v>
      </c>
      <c r="R25" s="607">
        <f>SUM(R9:R24)</f>
        <v>43518971688</v>
      </c>
      <c r="S25" s="423">
        <f>SUM(S9:S24)</f>
        <v>-136185768</v>
      </c>
      <c r="T25" s="473">
        <f t="shared" ref="T25:U25" si="34">SUM(T9:T24)</f>
        <v>-3251252794.4399977</v>
      </c>
      <c r="U25" s="609">
        <f t="shared" si="34"/>
        <v>213814232</v>
      </c>
      <c r="V25" s="210"/>
      <c r="W25" s="197">
        <f t="shared" si="33"/>
        <v>25161146014.919998</v>
      </c>
      <c r="X25" s="288">
        <f t="shared" si="33"/>
        <v>2809170379</v>
      </c>
      <c r="Y25" s="293">
        <f t="shared" si="33"/>
        <v>2241363851.5680003</v>
      </c>
      <c r="Z25" s="306">
        <f t="shared" si="33"/>
        <v>27402509866.487999</v>
      </c>
      <c r="AA25" s="361">
        <f t="shared" si="33"/>
        <v>23837278633</v>
      </c>
      <c r="AB25" s="380">
        <f t="shared" si="33"/>
        <v>-1323867381.9200001</v>
      </c>
      <c r="AC25" s="306">
        <f t="shared" si="33"/>
        <v>-3565231233.4880013</v>
      </c>
      <c r="AD25" s="197">
        <f t="shared" si="33"/>
        <v>18714011441</v>
      </c>
      <c r="AE25" s="288">
        <f t="shared" si="33"/>
        <v>7336096604</v>
      </c>
      <c r="AF25" s="293">
        <f t="shared" si="33"/>
        <v>3968048554</v>
      </c>
      <c r="AG25" s="306">
        <f t="shared" si="33"/>
        <v>22682059995</v>
      </c>
      <c r="AH25" s="361">
        <f t="shared" si="33"/>
        <v>17129748511</v>
      </c>
      <c r="AI25" s="380">
        <f t="shared" si="33"/>
        <v>-1584262930</v>
      </c>
      <c r="AJ25" s="306">
        <f t="shared" si="33"/>
        <v>-5552311484</v>
      </c>
      <c r="AK25" s="197">
        <f t="shared" si="33"/>
        <v>43875157455.919998</v>
      </c>
      <c r="AL25" s="292">
        <f t="shared" si="33"/>
        <v>10145266983</v>
      </c>
      <c r="AM25" s="293">
        <f t="shared" si="33"/>
        <v>6209412405.5680008</v>
      </c>
      <c r="AN25" s="359">
        <f t="shared" si="33"/>
        <v>50084569861.487999</v>
      </c>
      <c r="AO25" s="607">
        <f>SUM(AO9:AO24)</f>
        <v>40967027144</v>
      </c>
      <c r="AP25" s="423">
        <f t="shared" si="33"/>
        <v>-2908130311.9200001</v>
      </c>
      <c r="AQ25" s="306">
        <f t="shared" si="33"/>
        <v>-9117542717.487999</v>
      </c>
      <c r="AR25" s="210"/>
      <c r="AS25" s="412">
        <f t="shared" ref="AS25:BM25" si="35">SUM(AS9:AS24)</f>
        <v>25161146014.919998</v>
      </c>
      <c r="AT25" s="288">
        <f t="shared" si="35"/>
        <v>3105403159</v>
      </c>
      <c r="AU25" s="293">
        <f t="shared" si="35"/>
        <v>1608139851.5680001</v>
      </c>
      <c r="AV25" s="306">
        <f t="shared" si="35"/>
        <v>26769285866.487999</v>
      </c>
      <c r="AW25" s="361">
        <f t="shared" si="35"/>
        <v>23853278633</v>
      </c>
      <c r="AX25" s="380">
        <f t="shared" si="35"/>
        <v>-1307867381.9200001</v>
      </c>
      <c r="AY25" s="306">
        <f t="shared" si="35"/>
        <v>-2916007233.4880009</v>
      </c>
      <c r="AZ25" s="197">
        <f t="shared" si="35"/>
        <v>18714011441</v>
      </c>
      <c r="BA25" s="288">
        <f t="shared" si="35"/>
        <v>8494342547</v>
      </c>
      <c r="BB25" s="293">
        <f t="shared" si="35"/>
        <v>4860740239</v>
      </c>
      <c r="BC25" s="306">
        <f t="shared" si="35"/>
        <v>23574751680</v>
      </c>
      <c r="BD25" s="361">
        <f t="shared" si="35"/>
        <v>17214748511</v>
      </c>
      <c r="BE25" s="380">
        <f t="shared" si="35"/>
        <v>-1499262930</v>
      </c>
      <c r="BF25" s="306">
        <f t="shared" si="35"/>
        <v>-6360003169</v>
      </c>
      <c r="BG25" s="197">
        <f t="shared" si="35"/>
        <v>43875157455.919998</v>
      </c>
      <c r="BH25" s="292">
        <f t="shared" si="35"/>
        <v>11599745706</v>
      </c>
      <c r="BI25" s="293">
        <f t="shared" si="35"/>
        <v>6468880090.5680008</v>
      </c>
      <c r="BJ25" s="359">
        <f t="shared" si="35"/>
        <v>50344037546.487999</v>
      </c>
      <c r="BK25" s="605">
        <f>SUM(BK9:BK24)</f>
        <v>41068027144</v>
      </c>
      <c r="BL25" s="423">
        <f t="shared" si="35"/>
        <v>-2807130311.9200001</v>
      </c>
      <c r="BM25" s="306">
        <f t="shared" si="35"/>
        <v>-9276010402.487999</v>
      </c>
    </row>
    <row r="26" spans="1:67" s="99" customFormat="1" ht="8.25" customHeight="1" thickBot="1" x14ac:dyDescent="0.25">
      <c r="A26" s="103"/>
      <c r="B26" s="104"/>
      <c r="C26" s="104"/>
      <c r="D26" s="104"/>
      <c r="E26" s="211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608"/>
      <c r="S26" s="104"/>
      <c r="T26" s="104"/>
      <c r="U26" s="610"/>
      <c r="V26" s="211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608"/>
      <c r="AP26" s="104"/>
      <c r="AQ26" s="104"/>
      <c r="AR26" s="211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606"/>
      <c r="BL26" s="104"/>
      <c r="BM26" s="104"/>
    </row>
    <row r="27" spans="1:67" s="99" customFormat="1" ht="8.25" customHeight="1" x14ac:dyDescent="0.2">
      <c r="A27" s="103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</row>
    <row r="28" spans="1:67" s="99" customFormat="1" ht="15.75" customHeight="1" x14ac:dyDescent="0.2">
      <c r="A28" s="103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 t="s">
        <v>212</v>
      </c>
      <c r="R28" s="104">
        <f>U25</f>
        <v>213814232</v>
      </c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BL28" s="104"/>
      <c r="BM28" s="104"/>
    </row>
    <row r="29" spans="1:67" s="183" customFormat="1" ht="15.75" customHeight="1" x14ac:dyDescent="0.25">
      <c r="L29" s="386"/>
      <c r="M29" s="386"/>
      <c r="N29" s="387"/>
      <c r="Q29" s="393" t="s">
        <v>217</v>
      </c>
      <c r="R29" s="420">
        <f>S25</f>
        <v>-136185768</v>
      </c>
      <c r="T29" s="389"/>
      <c r="AN29" s="393" t="s">
        <v>207</v>
      </c>
      <c r="AO29" s="420">
        <f>AP25</f>
        <v>-2908130311.9200001</v>
      </c>
      <c r="AP29" s="388"/>
      <c r="BJ29" s="393" t="s">
        <v>208</v>
      </c>
      <c r="BK29" s="420">
        <f>BL25</f>
        <v>-2807130311.9200001</v>
      </c>
      <c r="BL29" s="388"/>
    </row>
    <row r="30" spans="1:67" s="183" customFormat="1" ht="15.75" customHeight="1" x14ac:dyDescent="0.25">
      <c r="G30" s="389"/>
      <c r="H30" s="389"/>
      <c r="I30" s="389"/>
      <c r="J30" s="389"/>
      <c r="L30" s="390"/>
      <c r="M30" s="425"/>
      <c r="N30" s="391"/>
      <c r="Q30" s="392" t="s">
        <v>206</v>
      </c>
      <c r="R30" s="421">
        <f>T25</f>
        <v>-3251252794.4399977</v>
      </c>
      <c r="AH30" s="389"/>
      <c r="AN30" s="392" t="s">
        <v>206</v>
      </c>
      <c r="AO30" s="421">
        <f>AQ25</f>
        <v>-9117542717.487999</v>
      </c>
      <c r="AP30" s="391"/>
      <c r="BD30" s="389"/>
      <c r="BJ30" s="392" t="s">
        <v>206</v>
      </c>
      <c r="BK30" s="421">
        <f>BM25</f>
        <v>-9276010402.487999</v>
      </c>
      <c r="BL30" s="391"/>
    </row>
    <row r="31" spans="1:67" ht="15" x14ac:dyDescent="0.25">
      <c r="A31" s="183" t="s">
        <v>213</v>
      </c>
      <c r="B31" s="184"/>
      <c r="C31" s="184"/>
      <c r="D31" s="184"/>
      <c r="E31" s="184"/>
      <c r="F31" s="185"/>
      <c r="G31" s="185"/>
      <c r="H31" s="185"/>
      <c r="I31" s="185"/>
      <c r="J31" s="185"/>
      <c r="W31" s="185"/>
      <c r="X31" s="185"/>
      <c r="Y31" s="185"/>
      <c r="Z31" s="185"/>
      <c r="AA31" s="185"/>
      <c r="AB31" s="185"/>
      <c r="AC31" s="185"/>
      <c r="AS31" s="185"/>
      <c r="AT31" s="185"/>
      <c r="AU31" s="185"/>
      <c r="AV31" s="185"/>
      <c r="AW31" s="185"/>
      <c r="AX31" s="185"/>
      <c r="AY31" s="185"/>
    </row>
    <row r="32" spans="1:67" ht="15.75" customHeight="1" x14ac:dyDescent="0.25">
      <c r="A32" s="183" t="s">
        <v>214</v>
      </c>
    </row>
    <row r="33" spans="1:1" ht="15" x14ac:dyDescent="0.25">
      <c r="A33" s="183" t="s">
        <v>202</v>
      </c>
    </row>
  </sheetData>
  <mergeCells count="18">
    <mergeCell ref="U25:U26"/>
    <mergeCell ref="R25:R26"/>
    <mergeCell ref="A6:A8"/>
    <mergeCell ref="B6:D7"/>
    <mergeCell ref="F7:J7"/>
    <mergeCell ref="K7:O7"/>
    <mergeCell ref="F6:T6"/>
    <mergeCell ref="P7:T7"/>
    <mergeCell ref="AZ7:BF7"/>
    <mergeCell ref="AS6:BM6"/>
    <mergeCell ref="BG7:BM7"/>
    <mergeCell ref="BK25:BK26"/>
    <mergeCell ref="AO25:AO26"/>
    <mergeCell ref="AS7:AY7"/>
    <mergeCell ref="W6:AQ6"/>
    <mergeCell ref="AK7:AQ7"/>
    <mergeCell ref="W7:AC7"/>
    <mergeCell ref="AD7:AJ7"/>
  </mergeCells>
  <pageMargins left="0.51181102362204722" right="0.31496062992125984" top="0.78740157480314965" bottom="0.78740157480314965" header="0.31496062992125984" footer="0.31496062992125984"/>
  <pageSetup paperSize="8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A2340-D775-4469-A3D1-65BFC3F34435}">
  <sheetPr>
    <pageSetUpPr fitToPage="1"/>
  </sheetPr>
  <dimension ref="A1:AC158"/>
  <sheetViews>
    <sheetView zoomScaleNormal="100" workbookViewId="0">
      <pane xSplit="3" ySplit="6" topLeftCell="T62" activePane="bottomRight" state="frozen"/>
      <selection pane="topRight" activeCell="D1" sqref="D1"/>
      <selection pane="bottomLeft" activeCell="A7" sqref="A7"/>
      <selection pane="bottomRight" sqref="A1:AC88"/>
    </sheetView>
  </sheetViews>
  <sheetFormatPr defaultColWidth="9.42578125" defaultRowHeight="15" x14ac:dyDescent="0.25"/>
  <cols>
    <col min="1" max="1" width="7.7109375" style="1" customWidth="1"/>
    <col min="2" max="2" width="5.7109375" style="1" customWidth="1"/>
    <col min="3" max="3" width="67" style="1" customWidth="1"/>
    <col min="4" max="4" width="14.7109375" style="134" customWidth="1"/>
    <col min="5" max="5" width="0.5703125" style="134" customWidth="1"/>
    <col min="6" max="6" width="14.7109375" style="134" customWidth="1"/>
    <col min="7" max="8" width="14.7109375" style="134" hidden="1" customWidth="1"/>
    <col min="9" max="13" width="14.7109375" style="134" customWidth="1"/>
    <col min="14" max="14" width="0.5703125" style="134" customWidth="1"/>
    <col min="15" max="15" width="14.7109375" style="134" customWidth="1"/>
    <col min="16" max="17" width="14.7109375" style="134" hidden="1" customWidth="1"/>
    <col min="18" max="21" width="14.7109375" style="134" customWidth="1"/>
    <col min="22" max="22" width="0.5703125" style="134" customWidth="1"/>
    <col min="23" max="23" width="14.7109375" style="134" customWidth="1"/>
    <col min="24" max="25" width="14.7109375" style="134" hidden="1" customWidth="1"/>
    <col min="26" max="29" width="14.7109375" style="134" customWidth="1"/>
    <col min="30" max="214" width="9.140625" style="1" customWidth="1"/>
    <col min="215" max="16384" width="9.42578125" style="1"/>
  </cols>
  <sheetData>
    <row r="1" spans="1:29" ht="18.75" x14ac:dyDescent="0.3">
      <c r="A1" s="121" t="s">
        <v>169</v>
      </c>
      <c r="B1" s="38" t="s">
        <v>174</v>
      </c>
      <c r="C1" s="38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</row>
    <row r="2" spans="1:29" ht="18.75" x14ac:dyDescent="0.3">
      <c r="A2" s="81"/>
      <c r="B2" s="319" t="s">
        <v>171</v>
      </c>
      <c r="C2" s="38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217"/>
      <c r="P2" s="296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</row>
    <row r="3" spans="1:29" ht="2.1" customHeight="1" thickBot="1" x14ac:dyDescent="0.35">
      <c r="A3" s="81"/>
      <c r="B3" s="38"/>
      <c r="C3" s="38"/>
      <c r="D3" s="145"/>
      <c r="E3" s="145"/>
      <c r="F3" s="296"/>
      <c r="G3" s="145"/>
      <c r="H3" s="145"/>
      <c r="I3" s="145"/>
      <c r="J3" s="145"/>
      <c r="K3" s="145"/>
      <c r="L3" s="145"/>
      <c r="M3" s="145"/>
      <c r="N3" s="145"/>
      <c r="O3" s="217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</row>
    <row r="4" spans="1:29" ht="21.95" customHeight="1" thickBot="1" x14ac:dyDescent="0.3">
      <c r="D4" s="146"/>
      <c r="E4" s="146"/>
      <c r="F4" s="622">
        <v>2026</v>
      </c>
      <c r="G4" s="623"/>
      <c r="H4" s="623"/>
      <c r="I4" s="623"/>
      <c r="J4" s="623"/>
      <c r="K4" s="623"/>
      <c r="L4" s="623"/>
      <c r="M4" s="624"/>
      <c r="N4" s="146"/>
      <c r="O4" s="622">
        <v>2027</v>
      </c>
      <c r="P4" s="623"/>
      <c r="Q4" s="623"/>
      <c r="R4" s="623"/>
      <c r="S4" s="623"/>
      <c r="T4" s="623"/>
      <c r="U4" s="624"/>
      <c r="V4" s="146"/>
      <c r="W4" s="622">
        <v>2028</v>
      </c>
      <c r="X4" s="623"/>
      <c r="Y4" s="623"/>
      <c r="Z4" s="623"/>
      <c r="AA4" s="623"/>
      <c r="AB4" s="623"/>
      <c r="AC4" s="624"/>
    </row>
    <row r="5" spans="1:29" ht="4.5" customHeight="1" thickBot="1" x14ac:dyDescent="0.35">
      <c r="B5" s="38"/>
      <c r="D5" s="146"/>
      <c r="E5" s="227"/>
      <c r="F5" s="146"/>
      <c r="G5" s="146"/>
      <c r="H5" s="146"/>
      <c r="I5" s="146"/>
      <c r="J5" s="146"/>
      <c r="K5" s="146"/>
      <c r="L5" s="146"/>
      <c r="M5" s="146"/>
      <c r="N5" s="227"/>
      <c r="O5" s="146"/>
      <c r="P5" s="146"/>
      <c r="Q5" s="146"/>
      <c r="R5" s="146"/>
      <c r="S5" s="146"/>
      <c r="T5" s="146"/>
      <c r="U5" s="146"/>
      <c r="V5" s="227"/>
      <c r="W5" s="146"/>
      <c r="X5" s="146"/>
      <c r="Y5" s="146"/>
      <c r="Z5" s="146"/>
      <c r="AA5" s="146"/>
      <c r="AB5" s="146"/>
      <c r="AC5" s="146"/>
    </row>
    <row r="6" spans="1:29" ht="78.75" customHeight="1" thickBot="1" x14ac:dyDescent="0.3">
      <c r="A6" s="107" t="s">
        <v>26</v>
      </c>
      <c r="B6" s="108" t="s">
        <v>1</v>
      </c>
      <c r="C6" s="137" t="s">
        <v>80</v>
      </c>
      <c r="D6" s="225" t="s">
        <v>135</v>
      </c>
      <c r="E6" s="228"/>
      <c r="F6" s="226" t="s">
        <v>203</v>
      </c>
      <c r="G6" s="320" t="s">
        <v>172</v>
      </c>
      <c r="H6" s="404" t="s">
        <v>211</v>
      </c>
      <c r="I6" s="302" t="s">
        <v>218</v>
      </c>
      <c r="J6" s="360" t="s">
        <v>219</v>
      </c>
      <c r="K6" s="459" t="s">
        <v>198</v>
      </c>
      <c r="L6" s="461" t="s">
        <v>227</v>
      </c>
      <c r="M6" s="445" t="s">
        <v>224</v>
      </c>
      <c r="N6" s="228"/>
      <c r="O6" s="226" t="s">
        <v>204</v>
      </c>
      <c r="P6" s="320" t="s">
        <v>172</v>
      </c>
      <c r="Q6" s="301" t="s">
        <v>157</v>
      </c>
      <c r="R6" s="302" t="s">
        <v>218</v>
      </c>
      <c r="S6" s="360" t="s">
        <v>220</v>
      </c>
      <c r="T6" s="460" t="s">
        <v>198</v>
      </c>
      <c r="U6" s="461" t="s">
        <v>227</v>
      </c>
      <c r="V6" s="228"/>
      <c r="W6" s="226" t="s">
        <v>215</v>
      </c>
      <c r="X6" s="320" t="s">
        <v>172</v>
      </c>
      <c r="Y6" s="301" t="s">
        <v>157</v>
      </c>
      <c r="Z6" s="302" t="s">
        <v>218</v>
      </c>
      <c r="AA6" s="360" t="s">
        <v>220</v>
      </c>
      <c r="AB6" s="460" t="s">
        <v>221</v>
      </c>
      <c r="AC6" s="462" t="s">
        <v>227</v>
      </c>
    </row>
    <row r="7" spans="1:29" ht="15.75" customHeight="1" x14ac:dyDescent="0.25">
      <c r="A7" s="17" t="s">
        <v>12</v>
      </c>
      <c r="B7" s="4"/>
      <c r="C7" s="18" t="s">
        <v>92</v>
      </c>
      <c r="D7" s="310">
        <v>68464282</v>
      </c>
      <c r="E7" s="229"/>
      <c r="F7" s="491">
        <v>68464282</v>
      </c>
      <c r="G7" s="492">
        <v>10000000</v>
      </c>
      <c r="H7" s="492">
        <v>10000000</v>
      </c>
      <c r="I7" s="492">
        <f>H7+F7</f>
        <v>78464282</v>
      </c>
      <c r="J7" s="492">
        <v>68464282</v>
      </c>
      <c r="K7" s="439">
        <f t="shared" ref="K7:K12" si="0">J7-F7</f>
        <v>0</v>
      </c>
      <c r="L7" s="467">
        <f t="shared" ref="L7:L14" si="1">J7-I7</f>
        <v>-10000000</v>
      </c>
      <c r="M7" s="439">
        <f>J7-D7</f>
        <v>0</v>
      </c>
      <c r="N7" s="229"/>
      <c r="O7" s="491">
        <v>68464282</v>
      </c>
      <c r="P7" s="492">
        <v>10000000</v>
      </c>
      <c r="Q7" s="491">
        <v>10000000</v>
      </c>
      <c r="R7" s="492">
        <f>Q7+O7</f>
        <v>78464282</v>
      </c>
      <c r="S7" s="511">
        <v>68464282</v>
      </c>
      <c r="T7" s="439">
        <f>S7-O7</f>
        <v>0</v>
      </c>
      <c r="U7" s="467">
        <f t="shared" ref="U7:U14" si="2">S7-R7</f>
        <v>-10000000</v>
      </c>
      <c r="V7" s="229"/>
      <c r="W7" s="491">
        <v>68464282</v>
      </c>
      <c r="X7" s="492">
        <v>10000000</v>
      </c>
      <c r="Y7" s="491">
        <v>10000000</v>
      </c>
      <c r="Z7" s="492">
        <f>Y7+W7</f>
        <v>78464282</v>
      </c>
      <c r="AA7" s="492">
        <v>68464282</v>
      </c>
      <c r="AB7" s="439">
        <f>AA7-W7</f>
        <v>0</v>
      </c>
      <c r="AC7" s="467">
        <f t="shared" ref="AC7:AC14" si="3">AA7-Z7</f>
        <v>-10000000</v>
      </c>
    </row>
    <row r="8" spans="1:29" ht="15.75" customHeight="1" thickBot="1" x14ac:dyDescent="0.3">
      <c r="A8" s="2" t="s">
        <v>12</v>
      </c>
      <c r="B8" s="6"/>
      <c r="C8" s="161" t="s">
        <v>91</v>
      </c>
      <c r="D8" s="311">
        <v>1500000</v>
      </c>
      <c r="E8" s="230"/>
      <c r="F8" s="493">
        <v>1500000</v>
      </c>
      <c r="G8" s="489"/>
      <c r="H8" s="489"/>
      <c r="I8" s="489">
        <f>H8+F8</f>
        <v>1500000</v>
      </c>
      <c r="J8" s="489">
        <v>1500000</v>
      </c>
      <c r="K8" s="440">
        <f t="shared" si="0"/>
        <v>0</v>
      </c>
      <c r="L8" s="440">
        <f t="shared" si="1"/>
        <v>0</v>
      </c>
      <c r="M8" s="440">
        <f>J8-D8</f>
        <v>0</v>
      </c>
      <c r="N8" s="230"/>
      <c r="O8" s="493">
        <v>1500000</v>
      </c>
      <c r="P8" s="489"/>
      <c r="Q8" s="493"/>
      <c r="R8" s="489">
        <f>Q8+O8</f>
        <v>1500000</v>
      </c>
      <c r="S8" s="512">
        <v>1500000</v>
      </c>
      <c r="T8" s="504">
        <f t="shared" ref="T8:T63" si="4">S8-O8</f>
        <v>0</v>
      </c>
      <c r="U8" s="440">
        <f t="shared" si="2"/>
        <v>0</v>
      </c>
      <c r="V8" s="230"/>
      <c r="W8" s="493">
        <v>1500000</v>
      </c>
      <c r="X8" s="489"/>
      <c r="Y8" s="493"/>
      <c r="Z8" s="489">
        <f>Y8+W8</f>
        <v>1500000</v>
      </c>
      <c r="AA8" s="489">
        <v>1500000</v>
      </c>
      <c r="AB8" s="504">
        <f t="shared" ref="AB8:AB63" si="5">AA8-W8</f>
        <v>0</v>
      </c>
      <c r="AC8" s="440">
        <f t="shared" si="3"/>
        <v>0</v>
      </c>
    </row>
    <row r="9" spans="1:29" ht="15.75" customHeight="1" thickBot="1" x14ac:dyDescent="0.3">
      <c r="A9" s="620" t="s">
        <v>12</v>
      </c>
      <c r="B9" s="621"/>
      <c r="C9" s="46" t="s">
        <v>0</v>
      </c>
      <c r="D9" s="179">
        <f t="shared" ref="D9:Z9" si="6">SUM(D7:D8)</f>
        <v>69964282</v>
      </c>
      <c r="E9" s="231"/>
      <c r="F9" s="222">
        <f t="shared" si="6"/>
        <v>69964282</v>
      </c>
      <c r="G9" s="53">
        <f t="shared" si="6"/>
        <v>10000000</v>
      </c>
      <c r="H9" s="53">
        <f>SUM(H7:H8)</f>
        <v>10000000</v>
      </c>
      <c r="I9" s="53">
        <f>SUM(I7:I8)</f>
        <v>79964282</v>
      </c>
      <c r="J9" s="53">
        <f>SUM(J7:J8)</f>
        <v>69964282</v>
      </c>
      <c r="K9" s="52">
        <f t="shared" si="0"/>
        <v>0</v>
      </c>
      <c r="L9" s="377">
        <f t="shared" si="1"/>
        <v>-10000000</v>
      </c>
      <c r="M9" s="52">
        <f>J9-D9</f>
        <v>0</v>
      </c>
      <c r="N9" s="231"/>
      <c r="O9" s="222">
        <f t="shared" si="6"/>
        <v>69964282</v>
      </c>
      <c r="P9" s="53">
        <f t="shared" si="6"/>
        <v>10000000</v>
      </c>
      <c r="Q9" s="222">
        <f t="shared" si="6"/>
        <v>10000000</v>
      </c>
      <c r="R9" s="53">
        <f t="shared" si="6"/>
        <v>79964282</v>
      </c>
      <c r="S9" s="191">
        <f t="shared" ref="S9" si="7">SUM(S7:S8)</f>
        <v>69964282</v>
      </c>
      <c r="T9" s="53">
        <f>S9-O9</f>
        <v>0</v>
      </c>
      <c r="U9" s="377">
        <f t="shared" si="2"/>
        <v>-10000000</v>
      </c>
      <c r="V9" s="231"/>
      <c r="W9" s="222">
        <f t="shared" si="6"/>
        <v>69964282</v>
      </c>
      <c r="X9" s="53">
        <f t="shared" si="6"/>
        <v>10000000</v>
      </c>
      <c r="Y9" s="222">
        <f t="shared" si="6"/>
        <v>10000000</v>
      </c>
      <c r="Z9" s="53">
        <f t="shared" si="6"/>
        <v>79964282</v>
      </c>
      <c r="AA9" s="53">
        <f t="shared" ref="AA9" si="8">SUM(AA7:AA8)</f>
        <v>69964282</v>
      </c>
      <c r="AB9" s="53">
        <f>AA9-W9</f>
        <v>0</v>
      </c>
      <c r="AC9" s="377">
        <f t="shared" si="3"/>
        <v>-10000000</v>
      </c>
    </row>
    <row r="10" spans="1:29" ht="15.75" customHeight="1" thickBot="1" x14ac:dyDescent="0.3">
      <c r="A10" s="17" t="s">
        <v>23</v>
      </c>
      <c r="B10" s="75"/>
      <c r="C10" s="10" t="s">
        <v>90</v>
      </c>
      <c r="D10" s="311">
        <v>31169160</v>
      </c>
      <c r="E10" s="230"/>
      <c r="F10" s="493">
        <v>31169160</v>
      </c>
      <c r="G10" s="489">
        <v>3740299</v>
      </c>
      <c r="H10" s="489">
        <f>F10*0.12</f>
        <v>3740299.1999999997</v>
      </c>
      <c r="I10" s="489">
        <f>H10+F10</f>
        <v>34909459.200000003</v>
      </c>
      <c r="J10" s="489">
        <v>31169160</v>
      </c>
      <c r="K10" s="440">
        <f t="shared" si="0"/>
        <v>0</v>
      </c>
      <c r="L10" s="384">
        <f t="shared" si="1"/>
        <v>-3740299.200000003</v>
      </c>
      <c r="M10" s="440">
        <f t="shared" ref="M10:M63" si="9">J10-D10</f>
        <v>0</v>
      </c>
      <c r="N10" s="230"/>
      <c r="O10" s="493">
        <v>31169160</v>
      </c>
      <c r="P10" s="489">
        <v>3740299</v>
      </c>
      <c r="Q10" s="512">
        <f>(I10*0.08)+H10</f>
        <v>6533055.9360000007</v>
      </c>
      <c r="R10" s="489">
        <f>Q10+O10</f>
        <v>37702215.936000004</v>
      </c>
      <c r="S10" s="512">
        <v>31169160</v>
      </c>
      <c r="T10" s="504">
        <f t="shared" si="4"/>
        <v>0</v>
      </c>
      <c r="U10" s="384">
        <f t="shared" si="2"/>
        <v>-6533055.9360000044</v>
      </c>
      <c r="V10" s="230"/>
      <c r="W10" s="493">
        <v>31169160</v>
      </c>
      <c r="X10" s="489">
        <v>3740299</v>
      </c>
      <c r="Y10" s="512">
        <f>Q10</f>
        <v>6533055.9360000007</v>
      </c>
      <c r="Z10" s="489">
        <f>Y10+W10</f>
        <v>37702215.936000004</v>
      </c>
      <c r="AA10" s="489">
        <v>31169160</v>
      </c>
      <c r="AB10" s="504">
        <f t="shared" si="5"/>
        <v>0</v>
      </c>
      <c r="AC10" s="384">
        <f t="shared" si="3"/>
        <v>-6533055.9360000044</v>
      </c>
    </row>
    <row r="11" spans="1:29" ht="15.75" customHeight="1" thickBot="1" x14ac:dyDescent="0.3">
      <c r="A11" s="44" t="s">
        <v>23</v>
      </c>
      <c r="B11" s="45"/>
      <c r="C11" s="46" t="s">
        <v>0</v>
      </c>
      <c r="D11" s="188">
        <f t="shared" ref="D11:Z11" si="10">SUM(D10:D10)</f>
        <v>31169160</v>
      </c>
      <c r="E11" s="232"/>
      <c r="F11" s="494">
        <f t="shared" si="10"/>
        <v>31169160</v>
      </c>
      <c r="G11" s="495">
        <f t="shared" si="10"/>
        <v>3740299</v>
      </c>
      <c r="H11" s="495">
        <f>SUM(H10:H10)</f>
        <v>3740299.1999999997</v>
      </c>
      <c r="I11" s="495">
        <f>SUM(I10:I10)</f>
        <v>34909459.200000003</v>
      </c>
      <c r="J11" s="495">
        <f>SUM(J10:J10)</f>
        <v>31169160</v>
      </c>
      <c r="K11" s="441">
        <f t="shared" si="0"/>
        <v>0</v>
      </c>
      <c r="L11" s="438">
        <f t="shared" si="1"/>
        <v>-3740299.200000003</v>
      </c>
      <c r="M11" s="441">
        <f>J11-D11</f>
        <v>0</v>
      </c>
      <c r="N11" s="232"/>
      <c r="O11" s="494">
        <f t="shared" si="10"/>
        <v>31169160</v>
      </c>
      <c r="P11" s="495">
        <f t="shared" si="10"/>
        <v>3740299</v>
      </c>
      <c r="Q11" s="494">
        <f t="shared" si="10"/>
        <v>6533055.9360000007</v>
      </c>
      <c r="R11" s="495">
        <f t="shared" si="10"/>
        <v>37702215.936000004</v>
      </c>
      <c r="S11" s="513">
        <f t="shared" ref="S11" si="11">SUM(S10:S10)</f>
        <v>31169160</v>
      </c>
      <c r="T11" s="495">
        <f>S11-O11</f>
        <v>0</v>
      </c>
      <c r="U11" s="438">
        <f t="shared" si="2"/>
        <v>-6533055.9360000044</v>
      </c>
      <c r="V11" s="232"/>
      <c r="W11" s="494">
        <f t="shared" si="10"/>
        <v>31169160</v>
      </c>
      <c r="X11" s="495">
        <f t="shared" si="10"/>
        <v>3740299</v>
      </c>
      <c r="Y11" s="494">
        <f t="shared" si="10"/>
        <v>6533055.9360000007</v>
      </c>
      <c r="Z11" s="495">
        <f t="shared" si="10"/>
        <v>37702215.936000004</v>
      </c>
      <c r="AA11" s="495">
        <f t="shared" ref="AA11" si="12">SUM(AA10:AA10)</f>
        <v>31169160</v>
      </c>
      <c r="AB11" s="495">
        <f>AA11-W11</f>
        <v>0</v>
      </c>
      <c r="AC11" s="438">
        <f t="shared" si="3"/>
        <v>-6533055.9360000044</v>
      </c>
    </row>
    <row r="12" spans="1:29" ht="15.75" customHeight="1" x14ac:dyDescent="0.25">
      <c r="A12" s="8" t="s">
        <v>5</v>
      </c>
      <c r="B12" s="9"/>
      <c r="C12" s="10" t="s">
        <v>90</v>
      </c>
      <c r="D12" s="311">
        <v>100119302</v>
      </c>
      <c r="E12" s="230"/>
      <c r="F12" s="493">
        <v>100119302</v>
      </c>
      <c r="G12" s="489">
        <v>13500000</v>
      </c>
      <c r="H12" s="489">
        <v>13500000</v>
      </c>
      <c r="I12" s="489">
        <f>H12+F12</f>
        <v>113619302</v>
      </c>
      <c r="J12" s="489">
        <v>113619302</v>
      </c>
      <c r="K12" s="440">
        <f t="shared" si="0"/>
        <v>13500000</v>
      </c>
      <c r="L12" s="440">
        <f t="shared" si="1"/>
        <v>0</v>
      </c>
      <c r="M12" s="440">
        <f t="shared" si="9"/>
        <v>13500000</v>
      </c>
      <c r="N12" s="230"/>
      <c r="O12" s="493">
        <v>100119302</v>
      </c>
      <c r="P12" s="489">
        <v>16500000</v>
      </c>
      <c r="Q12" s="514">
        <v>16500000</v>
      </c>
      <c r="R12" s="489">
        <f>Q12+O12</f>
        <v>116619302</v>
      </c>
      <c r="S12" s="512">
        <v>116619302</v>
      </c>
      <c r="T12" s="504">
        <f t="shared" si="4"/>
        <v>16500000</v>
      </c>
      <c r="U12" s="440">
        <f t="shared" si="2"/>
        <v>0</v>
      </c>
      <c r="V12" s="230"/>
      <c r="W12" s="493">
        <v>100119302</v>
      </c>
      <c r="X12" s="489">
        <v>20000000</v>
      </c>
      <c r="Y12" s="514">
        <f>Q12</f>
        <v>16500000</v>
      </c>
      <c r="Z12" s="489">
        <f>Y12+W12</f>
        <v>116619302</v>
      </c>
      <c r="AA12" s="489">
        <v>116619302</v>
      </c>
      <c r="AB12" s="504">
        <f t="shared" si="5"/>
        <v>16500000</v>
      </c>
      <c r="AC12" s="440">
        <f t="shared" si="3"/>
        <v>0</v>
      </c>
    </row>
    <row r="13" spans="1:29" ht="15.75" customHeight="1" x14ac:dyDescent="0.25">
      <c r="A13" s="11" t="s">
        <v>5</v>
      </c>
      <c r="B13" s="12"/>
      <c r="C13" s="13" t="s">
        <v>82</v>
      </c>
      <c r="D13" s="311">
        <v>8534000</v>
      </c>
      <c r="E13" s="230"/>
      <c r="F13" s="493">
        <v>8534000</v>
      </c>
      <c r="G13" s="496">
        <v>1000000</v>
      </c>
      <c r="H13" s="496">
        <v>1000000</v>
      </c>
      <c r="I13" s="496">
        <f>H13+F13</f>
        <v>9534000</v>
      </c>
      <c r="J13" s="496">
        <v>9534000</v>
      </c>
      <c r="K13" s="440">
        <f t="shared" ref="K13:K16" si="13">J13-F13</f>
        <v>1000000</v>
      </c>
      <c r="L13" s="440">
        <f t="shared" si="1"/>
        <v>0</v>
      </c>
      <c r="M13" s="440">
        <f t="shared" si="9"/>
        <v>1000000</v>
      </c>
      <c r="N13" s="243"/>
      <c r="O13" s="493">
        <v>8534000</v>
      </c>
      <c r="P13" s="489">
        <v>2000000</v>
      </c>
      <c r="Q13" s="493">
        <v>2000000</v>
      </c>
      <c r="R13" s="489">
        <f>Q13+O13</f>
        <v>10534000</v>
      </c>
      <c r="S13" s="512">
        <v>10534000</v>
      </c>
      <c r="T13" s="504">
        <f t="shared" si="4"/>
        <v>2000000</v>
      </c>
      <c r="U13" s="440">
        <f t="shared" si="2"/>
        <v>0</v>
      </c>
      <c r="V13" s="230"/>
      <c r="W13" s="493">
        <v>8534000</v>
      </c>
      <c r="X13" s="489">
        <v>3000000</v>
      </c>
      <c r="Y13" s="493">
        <v>3000000</v>
      </c>
      <c r="Z13" s="489">
        <f>Y13+W13</f>
        <v>11534000</v>
      </c>
      <c r="AA13" s="489">
        <v>11534000</v>
      </c>
      <c r="AB13" s="504">
        <f t="shared" si="5"/>
        <v>3000000</v>
      </c>
      <c r="AC13" s="440">
        <f t="shared" si="3"/>
        <v>0</v>
      </c>
    </row>
    <row r="14" spans="1:29" ht="15.75" customHeight="1" x14ac:dyDescent="0.25">
      <c r="A14" s="11" t="s">
        <v>5</v>
      </c>
      <c r="B14" s="177"/>
      <c r="C14" s="7" t="s">
        <v>129</v>
      </c>
      <c r="D14" s="311">
        <v>1374901</v>
      </c>
      <c r="E14" s="230"/>
      <c r="F14" s="493">
        <v>1374901</v>
      </c>
      <c r="G14" s="489"/>
      <c r="H14" s="489"/>
      <c r="I14" s="489">
        <f>H14+F14</f>
        <v>1374901</v>
      </c>
      <c r="J14" s="489">
        <v>1374901</v>
      </c>
      <c r="K14" s="440">
        <f t="shared" si="13"/>
        <v>0</v>
      </c>
      <c r="L14" s="440">
        <f t="shared" si="1"/>
        <v>0</v>
      </c>
      <c r="M14" s="440">
        <f t="shared" si="9"/>
        <v>0</v>
      </c>
      <c r="N14" s="230"/>
      <c r="O14" s="493">
        <v>1374901</v>
      </c>
      <c r="P14" s="489"/>
      <c r="Q14" s="493"/>
      <c r="R14" s="489">
        <f>Q14+O14</f>
        <v>1374901</v>
      </c>
      <c r="S14" s="512">
        <v>1374901</v>
      </c>
      <c r="T14" s="504">
        <f t="shared" si="4"/>
        <v>0</v>
      </c>
      <c r="U14" s="440">
        <f t="shared" si="2"/>
        <v>0</v>
      </c>
      <c r="V14" s="230"/>
      <c r="W14" s="493">
        <v>1374901</v>
      </c>
      <c r="X14" s="489"/>
      <c r="Y14" s="493"/>
      <c r="Z14" s="489">
        <f>Y14+W14</f>
        <v>1374901</v>
      </c>
      <c r="AA14" s="489">
        <v>1374901</v>
      </c>
      <c r="AB14" s="504">
        <f t="shared" si="5"/>
        <v>0</v>
      </c>
      <c r="AC14" s="440">
        <f t="shared" si="3"/>
        <v>0</v>
      </c>
    </row>
    <row r="15" spans="1:29" ht="15.75" customHeight="1" x14ac:dyDescent="0.25">
      <c r="A15" s="308" t="s">
        <v>5</v>
      </c>
      <c r="B15" s="94"/>
      <c r="C15" s="154" t="s">
        <v>166</v>
      </c>
      <c r="D15" s="311">
        <v>0</v>
      </c>
      <c r="E15" s="230"/>
      <c r="F15" s="493">
        <v>0</v>
      </c>
      <c r="G15" s="489"/>
      <c r="H15" s="497"/>
      <c r="I15" s="489">
        <f>H15+F15</f>
        <v>0</v>
      </c>
      <c r="J15" s="489">
        <v>0</v>
      </c>
      <c r="K15" s="440">
        <f t="shared" si="13"/>
        <v>0</v>
      </c>
      <c r="L15" s="440">
        <v>0</v>
      </c>
      <c r="M15" s="440">
        <f t="shared" si="9"/>
        <v>0</v>
      </c>
      <c r="N15" s="230"/>
      <c r="O15" s="493">
        <v>0</v>
      </c>
      <c r="P15" s="489"/>
      <c r="Q15" s="493"/>
      <c r="R15" s="489">
        <f>Q15+O15</f>
        <v>0</v>
      </c>
      <c r="S15" s="512">
        <v>0</v>
      </c>
      <c r="T15" s="504">
        <f t="shared" si="4"/>
        <v>0</v>
      </c>
      <c r="U15" s="440">
        <v>0</v>
      </c>
      <c r="V15" s="230"/>
      <c r="W15" s="493">
        <v>0</v>
      </c>
      <c r="X15" s="489"/>
      <c r="Y15" s="493"/>
      <c r="Z15" s="489">
        <f>Y15+W15</f>
        <v>0</v>
      </c>
      <c r="AA15" s="489">
        <v>0</v>
      </c>
      <c r="AB15" s="504">
        <f t="shared" si="5"/>
        <v>0</v>
      </c>
      <c r="AC15" s="440">
        <v>0</v>
      </c>
    </row>
    <row r="16" spans="1:29" ht="15.75" customHeight="1" thickBot="1" x14ac:dyDescent="0.3">
      <c r="A16" s="158" t="s">
        <v>5</v>
      </c>
      <c r="B16" s="159"/>
      <c r="C16" s="134" t="s">
        <v>122</v>
      </c>
      <c r="D16" s="312">
        <v>0</v>
      </c>
      <c r="E16" s="233"/>
      <c r="F16" s="498">
        <v>0</v>
      </c>
      <c r="G16" s="499"/>
      <c r="H16" s="499"/>
      <c r="I16" s="499">
        <f>H16+F16</f>
        <v>0</v>
      </c>
      <c r="J16" s="499">
        <v>0</v>
      </c>
      <c r="K16" s="440">
        <f t="shared" si="13"/>
        <v>0</v>
      </c>
      <c r="L16" s="440">
        <v>0</v>
      </c>
      <c r="M16" s="440">
        <f t="shared" si="9"/>
        <v>0</v>
      </c>
      <c r="N16" s="233"/>
      <c r="O16" s="498">
        <v>0</v>
      </c>
      <c r="P16" s="499"/>
      <c r="Q16" s="498"/>
      <c r="R16" s="489">
        <f>Q16+O16</f>
        <v>0</v>
      </c>
      <c r="S16" s="512">
        <v>0</v>
      </c>
      <c r="T16" s="504">
        <f t="shared" si="4"/>
        <v>0</v>
      </c>
      <c r="U16" s="440">
        <v>0</v>
      </c>
      <c r="V16" s="233"/>
      <c r="W16" s="498">
        <v>0</v>
      </c>
      <c r="X16" s="499"/>
      <c r="Y16" s="498"/>
      <c r="Z16" s="489">
        <f>Y16+W16</f>
        <v>0</v>
      </c>
      <c r="AA16" s="489">
        <v>0</v>
      </c>
      <c r="AB16" s="504">
        <f t="shared" si="5"/>
        <v>0</v>
      </c>
      <c r="AC16" s="440">
        <v>0</v>
      </c>
    </row>
    <row r="17" spans="1:29" ht="15.75" customHeight="1" thickBot="1" x14ac:dyDescent="0.3">
      <c r="A17" s="48" t="s">
        <v>5</v>
      </c>
      <c r="B17" s="49"/>
      <c r="C17" s="50" t="s">
        <v>0</v>
      </c>
      <c r="D17" s="189">
        <f t="shared" ref="D17:AA17" si="14">SUM(D12:D16)</f>
        <v>110028203</v>
      </c>
      <c r="E17" s="234"/>
      <c r="F17" s="220">
        <f t="shared" si="14"/>
        <v>110028203</v>
      </c>
      <c r="G17" s="51">
        <f t="shared" si="14"/>
        <v>14500000</v>
      </c>
      <c r="H17" s="51">
        <f>SUM(H12:H16)</f>
        <v>14500000</v>
      </c>
      <c r="I17" s="51">
        <f>SUM(I12:I16)</f>
        <v>124528203</v>
      </c>
      <c r="J17" s="51">
        <f>SUM(J12:J16)</f>
        <v>124528203</v>
      </c>
      <c r="K17" s="51">
        <f>J17-F17</f>
        <v>14500000</v>
      </c>
      <c r="L17" s="51">
        <f t="shared" ref="L17:L30" si="15">J17-I17</f>
        <v>0</v>
      </c>
      <c r="M17" s="51">
        <f>J17-D17</f>
        <v>14500000</v>
      </c>
      <c r="N17" s="234"/>
      <c r="O17" s="220">
        <f t="shared" si="14"/>
        <v>110028203</v>
      </c>
      <c r="P17" s="51">
        <f t="shared" si="14"/>
        <v>18500000</v>
      </c>
      <c r="Q17" s="220">
        <f t="shared" si="14"/>
        <v>18500000</v>
      </c>
      <c r="R17" s="51">
        <f t="shared" si="14"/>
        <v>128528203</v>
      </c>
      <c r="S17" s="189">
        <f t="shared" si="14"/>
        <v>128528203</v>
      </c>
      <c r="T17" s="51">
        <f>S17-O17</f>
        <v>18500000</v>
      </c>
      <c r="U17" s="51">
        <f t="shared" ref="U17:U30" si="16">S17-R17</f>
        <v>0</v>
      </c>
      <c r="V17" s="234"/>
      <c r="W17" s="220">
        <f t="shared" si="14"/>
        <v>110028203</v>
      </c>
      <c r="X17" s="51">
        <f t="shared" si="14"/>
        <v>23000000</v>
      </c>
      <c r="Y17" s="220">
        <f t="shared" si="14"/>
        <v>19500000</v>
      </c>
      <c r="Z17" s="51">
        <f t="shared" si="14"/>
        <v>129528203</v>
      </c>
      <c r="AA17" s="51">
        <f t="shared" si="14"/>
        <v>129528203</v>
      </c>
      <c r="AB17" s="51">
        <f>AA17-W17</f>
        <v>19500000</v>
      </c>
      <c r="AC17" s="51">
        <f t="shared" ref="AC17:AC30" si="17">AA17-Z17</f>
        <v>0</v>
      </c>
    </row>
    <row r="18" spans="1:29" ht="15.75" customHeight="1" x14ac:dyDescent="0.25">
      <c r="A18" s="114" t="s">
        <v>22</v>
      </c>
      <c r="B18" s="115"/>
      <c r="C18" s="10" t="s">
        <v>90</v>
      </c>
      <c r="D18" s="311">
        <v>88569000</v>
      </c>
      <c r="E18" s="230"/>
      <c r="F18" s="493">
        <v>88569000</v>
      </c>
      <c r="G18" s="489">
        <v>0</v>
      </c>
      <c r="H18" s="489">
        <v>0</v>
      </c>
      <c r="I18" s="489">
        <f>H18+F18</f>
        <v>88569000</v>
      </c>
      <c r="J18" s="489">
        <v>85162500</v>
      </c>
      <c r="K18" s="384">
        <f>J18-F18</f>
        <v>-3406500</v>
      </c>
      <c r="L18" s="384">
        <f t="shared" si="15"/>
        <v>-3406500</v>
      </c>
      <c r="M18" s="384">
        <f t="shared" si="9"/>
        <v>-3406500</v>
      </c>
      <c r="N18" s="230"/>
      <c r="O18" s="493">
        <v>88569000</v>
      </c>
      <c r="P18" s="489">
        <v>0</v>
      </c>
      <c r="Q18" s="493">
        <v>0</v>
      </c>
      <c r="R18" s="489">
        <f>Q18+O18</f>
        <v>88569000</v>
      </c>
      <c r="S18" s="443">
        <v>85162500</v>
      </c>
      <c r="T18" s="515">
        <f t="shared" si="4"/>
        <v>-3406500</v>
      </c>
      <c r="U18" s="384">
        <f t="shared" si="16"/>
        <v>-3406500</v>
      </c>
      <c r="V18" s="230"/>
      <c r="W18" s="493">
        <v>88569000</v>
      </c>
      <c r="X18" s="489">
        <v>0</v>
      </c>
      <c r="Y18" s="493">
        <v>0</v>
      </c>
      <c r="Z18" s="489">
        <f>Y18+W18</f>
        <v>88569000</v>
      </c>
      <c r="AA18" s="396">
        <v>85162500</v>
      </c>
      <c r="AB18" s="515">
        <f t="shared" si="5"/>
        <v>-3406500</v>
      </c>
      <c r="AC18" s="384">
        <f t="shared" si="17"/>
        <v>-3406500</v>
      </c>
    </row>
    <row r="19" spans="1:29" ht="15.75" customHeight="1" thickBot="1" x14ac:dyDescent="0.3">
      <c r="A19" s="112" t="s">
        <v>22</v>
      </c>
      <c r="B19" s="42"/>
      <c r="C19" s="7" t="s">
        <v>129</v>
      </c>
      <c r="D19" s="311">
        <v>350000</v>
      </c>
      <c r="E19" s="230"/>
      <c r="F19" s="493">
        <v>350000</v>
      </c>
      <c r="G19" s="489">
        <v>0</v>
      </c>
      <c r="H19" s="489"/>
      <c r="I19" s="489">
        <f>H19+F19</f>
        <v>350000</v>
      </c>
      <c r="J19" s="489">
        <v>300000</v>
      </c>
      <c r="K19" s="384">
        <f>J19-F19</f>
        <v>-50000</v>
      </c>
      <c r="L19" s="384">
        <f t="shared" si="15"/>
        <v>-50000</v>
      </c>
      <c r="M19" s="384">
        <f t="shared" si="9"/>
        <v>-50000</v>
      </c>
      <c r="N19" s="230"/>
      <c r="O19" s="493">
        <v>350000</v>
      </c>
      <c r="P19" s="489">
        <v>0</v>
      </c>
      <c r="Q19" s="493"/>
      <c r="R19" s="489">
        <f>Q19+O19</f>
        <v>350000</v>
      </c>
      <c r="S19" s="512">
        <v>300000</v>
      </c>
      <c r="T19" s="515">
        <f t="shared" si="4"/>
        <v>-50000</v>
      </c>
      <c r="U19" s="384">
        <f t="shared" si="16"/>
        <v>-50000</v>
      </c>
      <c r="V19" s="230"/>
      <c r="W19" s="493">
        <v>350000</v>
      </c>
      <c r="X19" s="489">
        <v>0</v>
      </c>
      <c r="Y19" s="493"/>
      <c r="Z19" s="489">
        <f>Y19+W19</f>
        <v>350000</v>
      </c>
      <c r="AA19" s="489">
        <v>300000</v>
      </c>
      <c r="AB19" s="515">
        <f t="shared" si="5"/>
        <v>-50000</v>
      </c>
      <c r="AC19" s="384">
        <f t="shared" si="17"/>
        <v>-50000</v>
      </c>
    </row>
    <row r="20" spans="1:29" ht="15.75" customHeight="1" thickBot="1" x14ac:dyDescent="0.3">
      <c r="A20" s="44" t="s">
        <v>22</v>
      </c>
      <c r="B20" s="45"/>
      <c r="C20" s="46" t="s">
        <v>0</v>
      </c>
      <c r="D20" s="188">
        <f t="shared" ref="D20:Z20" si="18">SUM(D18:D19)</f>
        <v>88919000</v>
      </c>
      <c r="E20" s="232"/>
      <c r="F20" s="494">
        <f t="shared" si="18"/>
        <v>88919000</v>
      </c>
      <c r="G20" s="495">
        <f t="shared" si="18"/>
        <v>0</v>
      </c>
      <c r="H20" s="495">
        <f>SUM(H18:H19)</f>
        <v>0</v>
      </c>
      <c r="I20" s="495">
        <f>SUM(I18:I19)</f>
        <v>88919000</v>
      </c>
      <c r="J20" s="495">
        <f>SUM(J18:J19)</f>
        <v>85462500</v>
      </c>
      <c r="K20" s="438">
        <f>J20-F20</f>
        <v>-3456500</v>
      </c>
      <c r="L20" s="438">
        <f t="shared" si="15"/>
        <v>-3456500</v>
      </c>
      <c r="M20" s="438">
        <f>J20-D20</f>
        <v>-3456500</v>
      </c>
      <c r="N20" s="232"/>
      <c r="O20" s="494">
        <f t="shared" si="18"/>
        <v>88919000</v>
      </c>
      <c r="P20" s="495">
        <f t="shared" si="18"/>
        <v>0</v>
      </c>
      <c r="Q20" s="494">
        <f t="shared" si="18"/>
        <v>0</v>
      </c>
      <c r="R20" s="495">
        <f t="shared" si="18"/>
        <v>88919000</v>
      </c>
      <c r="S20" s="513">
        <f t="shared" ref="S20" si="19">SUM(S18:S19)</f>
        <v>85462500</v>
      </c>
      <c r="T20" s="438">
        <f>S20-O20</f>
        <v>-3456500</v>
      </c>
      <c r="U20" s="438">
        <f t="shared" si="16"/>
        <v>-3456500</v>
      </c>
      <c r="V20" s="232"/>
      <c r="W20" s="494">
        <f t="shared" si="18"/>
        <v>88919000</v>
      </c>
      <c r="X20" s="495">
        <f t="shared" si="18"/>
        <v>0</v>
      </c>
      <c r="Y20" s="494">
        <f t="shared" si="18"/>
        <v>0</v>
      </c>
      <c r="Z20" s="495">
        <f t="shared" si="18"/>
        <v>88919000</v>
      </c>
      <c r="AA20" s="495">
        <f t="shared" ref="AA20" si="20">SUM(AA18:AA19)</f>
        <v>85462500</v>
      </c>
      <c r="AB20" s="438">
        <f>AA20-W20</f>
        <v>-3456500</v>
      </c>
      <c r="AC20" s="438">
        <f t="shared" si="17"/>
        <v>-3456500</v>
      </c>
    </row>
    <row r="21" spans="1:29" ht="15.75" customHeight="1" x14ac:dyDescent="0.25">
      <c r="A21" s="3" t="s">
        <v>10</v>
      </c>
      <c r="B21" s="4"/>
      <c r="C21" s="10" t="s">
        <v>90</v>
      </c>
      <c r="D21" s="313">
        <v>116533048</v>
      </c>
      <c r="E21" s="235"/>
      <c r="F21" s="500">
        <v>116533048</v>
      </c>
      <c r="G21" s="489">
        <v>79518072</v>
      </c>
      <c r="H21" s="489">
        <f>F21*0.08</f>
        <v>9322643.8399999999</v>
      </c>
      <c r="I21" s="489">
        <f>H21+F21</f>
        <v>125855691.84</v>
      </c>
      <c r="J21" s="489">
        <v>112051008</v>
      </c>
      <c r="K21" s="384">
        <f>J21-F21</f>
        <v>-4482040</v>
      </c>
      <c r="L21" s="384">
        <f t="shared" si="15"/>
        <v>-13804683.840000004</v>
      </c>
      <c r="M21" s="384">
        <f t="shared" si="9"/>
        <v>-4482040</v>
      </c>
      <c r="N21" s="230"/>
      <c r="O21" s="491">
        <v>116533048</v>
      </c>
      <c r="P21" s="489">
        <v>79518072</v>
      </c>
      <c r="Q21" s="493">
        <f>(I21*0.08)+H21</f>
        <v>19391099.187200002</v>
      </c>
      <c r="R21" s="489">
        <f>Q21+O21</f>
        <v>135924147.18720001</v>
      </c>
      <c r="S21" s="512">
        <v>112051008</v>
      </c>
      <c r="T21" s="515">
        <f t="shared" si="4"/>
        <v>-4482040</v>
      </c>
      <c r="U21" s="384">
        <f t="shared" si="16"/>
        <v>-23873139.18720001</v>
      </c>
      <c r="V21" s="230"/>
      <c r="W21" s="491">
        <v>116533048</v>
      </c>
      <c r="X21" s="489">
        <v>79518072</v>
      </c>
      <c r="Y21" s="493">
        <f>Q21</f>
        <v>19391099.187200002</v>
      </c>
      <c r="Z21" s="489">
        <f>Y21+W21</f>
        <v>135924147.18720001</v>
      </c>
      <c r="AA21" s="489">
        <v>112051008</v>
      </c>
      <c r="AB21" s="515">
        <f t="shared" si="5"/>
        <v>-4482040</v>
      </c>
      <c r="AC21" s="384">
        <f t="shared" si="17"/>
        <v>-23873139.18720001</v>
      </c>
    </row>
    <row r="22" spans="1:29" ht="15.75" customHeight="1" x14ac:dyDescent="0.25">
      <c r="A22" s="2" t="s">
        <v>10</v>
      </c>
      <c r="B22" s="6"/>
      <c r="C22" s="7" t="s">
        <v>129</v>
      </c>
      <c r="D22" s="313">
        <v>8112209</v>
      </c>
      <c r="E22" s="235"/>
      <c r="F22" s="500">
        <v>8112209</v>
      </c>
      <c r="G22" s="488"/>
      <c r="H22" s="488"/>
      <c r="I22" s="488">
        <f>H22+F22</f>
        <v>8112209</v>
      </c>
      <c r="J22" s="488">
        <v>8112209</v>
      </c>
      <c r="K22" s="440">
        <f t="shared" ref="K22:K23" si="21">J22-F22</f>
        <v>0</v>
      </c>
      <c r="L22" s="440">
        <f t="shared" si="15"/>
        <v>0</v>
      </c>
      <c r="M22" s="489">
        <f t="shared" si="9"/>
        <v>0</v>
      </c>
      <c r="N22" s="235"/>
      <c r="O22" s="500">
        <v>8112209</v>
      </c>
      <c r="P22" s="488"/>
      <c r="Q22" s="500"/>
      <c r="R22" s="489">
        <f>Q22+O22</f>
        <v>8112209</v>
      </c>
      <c r="S22" s="512">
        <v>8112209</v>
      </c>
      <c r="T22" s="504">
        <f t="shared" si="4"/>
        <v>0</v>
      </c>
      <c r="U22" s="440">
        <f t="shared" si="16"/>
        <v>0</v>
      </c>
      <c r="V22" s="235"/>
      <c r="W22" s="500">
        <v>8112209</v>
      </c>
      <c r="X22" s="488"/>
      <c r="Y22" s="500"/>
      <c r="Z22" s="489">
        <f>Y22+W22</f>
        <v>8112209</v>
      </c>
      <c r="AA22" s="489">
        <v>8112209</v>
      </c>
      <c r="AB22" s="504">
        <f t="shared" si="5"/>
        <v>0</v>
      </c>
      <c r="AC22" s="440">
        <f t="shared" si="17"/>
        <v>0</v>
      </c>
    </row>
    <row r="23" spans="1:29" ht="15.75" customHeight="1" thickBot="1" x14ac:dyDescent="0.3">
      <c r="A23" s="2" t="s">
        <v>10</v>
      </c>
      <c r="B23" s="6"/>
      <c r="C23" s="7" t="s">
        <v>91</v>
      </c>
      <c r="D23" s="313">
        <v>500000</v>
      </c>
      <c r="E23" s="235"/>
      <c r="F23" s="500">
        <v>500000</v>
      </c>
      <c r="G23" s="490"/>
      <c r="H23" s="490"/>
      <c r="I23" s="490">
        <f>H23+F23</f>
        <v>500000</v>
      </c>
      <c r="J23" s="490">
        <v>500000</v>
      </c>
      <c r="K23" s="440">
        <f t="shared" si="21"/>
        <v>0</v>
      </c>
      <c r="L23" s="440">
        <f t="shared" si="15"/>
        <v>0</v>
      </c>
      <c r="M23" s="489">
        <f t="shared" si="9"/>
        <v>0</v>
      </c>
      <c r="N23" s="244"/>
      <c r="O23" s="516">
        <v>500000</v>
      </c>
      <c r="P23" s="517"/>
      <c r="Q23" s="516"/>
      <c r="R23" s="489">
        <f>Q23+O23</f>
        <v>500000</v>
      </c>
      <c r="S23" s="512">
        <v>500000</v>
      </c>
      <c r="T23" s="504">
        <f t="shared" si="4"/>
        <v>0</v>
      </c>
      <c r="U23" s="440">
        <f t="shared" si="16"/>
        <v>0</v>
      </c>
      <c r="V23" s="247"/>
      <c r="W23" s="516">
        <v>500000</v>
      </c>
      <c r="X23" s="517"/>
      <c r="Y23" s="516"/>
      <c r="Z23" s="489">
        <f>Y23+W23</f>
        <v>500000</v>
      </c>
      <c r="AA23" s="489">
        <v>500000</v>
      </c>
      <c r="AB23" s="504">
        <f t="shared" si="5"/>
        <v>0</v>
      </c>
      <c r="AC23" s="440">
        <f t="shared" si="17"/>
        <v>0</v>
      </c>
    </row>
    <row r="24" spans="1:29" ht="15.75" customHeight="1" thickBot="1" x14ac:dyDescent="0.3">
      <c r="A24" s="44" t="s">
        <v>10</v>
      </c>
      <c r="B24" s="45"/>
      <c r="C24" s="46" t="s">
        <v>0</v>
      </c>
      <c r="D24" s="190">
        <f t="shared" ref="D24:AA24" si="22">SUM(D21:D23)</f>
        <v>125145257</v>
      </c>
      <c r="E24" s="236"/>
      <c r="F24" s="221">
        <f t="shared" si="22"/>
        <v>125145257</v>
      </c>
      <c r="G24" s="52">
        <f t="shared" si="22"/>
        <v>79518072</v>
      </c>
      <c r="H24" s="52">
        <f>SUM(H21:H23)</f>
        <v>9322643.8399999999</v>
      </c>
      <c r="I24" s="52">
        <f>SUM(I21:I23)</f>
        <v>134467900.84</v>
      </c>
      <c r="J24" s="52">
        <v>120663217</v>
      </c>
      <c r="K24" s="377">
        <f t="shared" ref="K24:K30" si="23">J24-F24</f>
        <v>-4482040</v>
      </c>
      <c r="L24" s="377">
        <f t="shared" si="15"/>
        <v>-13804683.840000004</v>
      </c>
      <c r="M24" s="377">
        <f>J24-D24</f>
        <v>-4482040</v>
      </c>
      <c r="N24" s="236"/>
      <c r="O24" s="221">
        <f t="shared" si="22"/>
        <v>125145257</v>
      </c>
      <c r="P24" s="52">
        <f t="shared" si="22"/>
        <v>79518072</v>
      </c>
      <c r="Q24" s="221">
        <f t="shared" si="22"/>
        <v>19391099.187200002</v>
      </c>
      <c r="R24" s="52">
        <f t="shared" si="22"/>
        <v>144536356.18720001</v>
      </c>
      <c r="S24" s="190">
        <f t="shared" si="22"/>
        <v>120663217</v>
      </c>
      <c r="T24" s="377">
        <f>S24-O24</f>
        <v>-4482040</v>
      </c>
      <c r="U24" s="377">
        <f t="shared" si="16"/>
        <v>-23873139.18720001</v>
      </c>
      <c r="V24" s="236"/>
      <c r="W24" s="221">
        <f t="shared" si="22"/>
        <v>125145257</v>
      </c>
      <c r="X24" s="52">
        <f t="shared" si="22"/>
        <v>79518072</v>
      </c>
      <c r="Y24" s="221">
        <f t="shared" si="22"/>
        <v>19391099.187200002</v>
      </c>
      <c r="Z24" s="52">
        <f t="shared" si="22"/>
        <v>144536356.18720001</v>
      </c>
      <c r="AA24" s="52">
        <f t="shared" si="22"/>
        <v>120663217</v>
      </c>
      <c r="AB24" s="377">
        <f>AA24-W24</f>
        <v>-4482040</v>
      </c>
      <c r="AC24" s="377">
        <f t="shared" si="17"/>
        <v>-23873139.18720001</v>
      </c>
    </row>
    <row r="25" spans="1:29" s="139" customFormat="1" ht="15.75" customHeight="1" x14ac:dyDescent="0.25">
      <c r="A25" s="127" t="s">
        <v>24</v>
      </c>
      <c r="B25" s="153"/>
      <c r="C25" s="10" t="s">
        <v>90</v>
      </c>
      <c r="D25" s="311">
        <f>276762447+19191848</f>
        <v>295954295</v>
      </c>
      <c r="E25" s="230"/>
      <c r="F25" s="493">
        <v>276762447</v>
      </c>
      <c r="G25" s="489">
        <v>82937967</v>
      </c>
      <c r="H25" s="489">
        <v>82937967</v>
      </c>
      <c r="I25" s="489">
        <f>H25+F25</f>
        <v>359700414</v>
      </c>
      <c r="J25" s="489">
        <v>359700414</v>
      </c>
      <c r="K25" s="440">
        <f t="shared" si="23"/>
        <v>82937967</v>
      </c>
      <c r="L25" s="440">
        <f t="shared" si="15"/>
        <v>0</v>
      </c>
      <c r="M25" s="440">
        <f t="shared" si="9"/>
        <v>63746119</v>
      </c>
      <c r="N25" s="230"/>
      <c r="O25" s="493">
        <v>276762447</v>
      </c>
      <c r="P25" s="489">
        <v>93741305</v>
      </c>
      <c r="Q25" s="518">
        <v>93741305</v>
      </c>
      <c r="R25" s="489">
        <f>Q25+O25</f>
        <v>370503752</v>
      </c>
      <c r="S25" s="443">
        <v>266125927</v>
      </c>
      <c r="T25" s="515">
        <f t="shared" si="4"/>
        <v>-10636520</v>
      </c>
      <c r="U25" s="384">
        <f t="shared" si="16"/>
        <v>-104377825</v>
      </c>
      <c r="V25" s="230"/>
      <c r="W25" s="493">
        <v>276762447</v>
      </c>
      <c r="X25" s="489">
        <v>104868744</v>
      </c>
      <c r="Y25" s="518">
        <f>Q25</f>
        <v>93741305</v>
      </c>
      <c r="Z25" s="489">
        <f>Y25+W25</f>
        <v>370503752</v>
      </c>
      <c r="AA25" s="396">
        <v>266125927</v>
      </c>
      <c r="AB25" s="515">
        <f t="shared" si="5"/>
        <v>-10636520</v>
      </c>
      <c r="AC25" s="384">
        <f t="shared" si="17"/>
        <v>-104377825</v>
      </c>
    </row>
    <row r="26" spans="1:29" ht="15.75" customHeight="1" thickBot="1" x14ac:dyDescent="0.3">
      <c r="A26" s="132" t="s">
        <v>24</v>
      </c>
      <c r="B26" s="144"/>
      <c r="C26" s="7" t="s">
        <v>129</v>
      </c>
      <c r="D26" s="311">
        <v>413000</v>
      </c>
      <c r="E26" s="230"/>
      <c r="F26" s="493">
        <v>413000</v>
      </c>
      <c r="G26" s="489"/>
      <c r="H26" s="489"/>
      <c r="I26" s="489">
        <f>H26+F26</f>
        <v>413000</v>
      </c>
      <c r="J26" s="489">
        <v>413000</v>
      </c>
      <c r="K26" s="440">
        <f t="shared" si="23"/>
        <v>0</v>
      </c>
      <c r="L26" s="440">
        <f t="shared" si="15"/>
        <v>0</v>
      </c>
      <c r="M26" s="440">
        <f t="shared" si="9"/>
        <v>0</v>
      </c>
      <c r="N26" s="230"/>
      <c r="O26" s="493">
        <v>413000</v>
      </c>
      <c r="P26" s="489"/>
      <c r="Q26" s="493"/>
      <c r="R26" s="489">
        <f>Q26+O26</f>
        <v>413000</v>
      </c>
      <c r="S26" s="512">
        <v>413000</v>
      </c>
      <c r="T26" s="504">
        <f t="shared" si="4"/>
        <v>0</v>
      </c>
      <c r="U26" s="440">
        <f t="shared" si="16"/>
        <v>0</v>
      </c>
      <c r="V26" s="230"/>
      <c r="W26" s="493">
        <v>413000</v>
      </c>
      <c r="X26" s="489"/>
      <c r="Y26" s="493"/>
      <c r="Z26" s="489">
        <f>Y26+W26</f>
        <v>413000</v>
      </c>
      <c r="AA26" s="489">
        <v>413000</v>
      </c>
      <c r="AB26" s="504">
        <f t="shared" si="5"/>
        <v>0</v>
      </c>
      <c r="AC26" s="440">
        <f t="shared" si="17"/>
        <v>0</v>
      </c>
    </row>
    <row r="27" spans="1:29" ht="15.75" customHeight="1" thickBot="1" x14ac:dyDescent="0.3">
      <c r="A27" s="44" t="s">
        <v>24</v>
      </c>
      <c r="B27" s="45"/>
      <c r="C27" s="46" t="s">
        <v>0</v>
      </c>
      <c r="D27" s="188">
        <f t="shared" ref="D27:Z27" si="24">SUM(D25:D26)</f>
        <v>296367295</v>
      </c>
      <c r="E27" s="232"/>
      <c r="F27" s="494">
        <f t="shared" si="24"/>
        <v>277175447</v>
      </c>
      <c r="G27" s="495">
        <f t="shared" si="24"/>
        <v>82937967</v>
      </c>
      <c r="H27" s="495">
        <f>SUM(H25:H26)</f>
        <v>82937967</v>
      </c>
      <c r="I27" s="495">
        <f>SUM(I25:I26)</f>
        <v>360113414</v>
      </c>
      <c r="J27" s="495">
        <f>SUM(J25:J26)</f>
        <v>360113414</v>
      </c>
      <c r="K27" s="441">
        <f t="shared" si="23"/>
        <v>82937967</v>
      </c>
      <c r="L27" s="441">
        <f t="shared" si="15"/>
        <v>0</v>
      </c>
      <c r="M27" s="441">
        <f>J27-D27</f>
        <v>63746119</v>
      </c>
      <c r="N27" s="232"/>
      <c r="O27" s="494">
        <f t="shared" si="24"/>
        <v>277175447</v>
      </c>
      <c r="P27" s="495">
        <f t="shared" si="24"/>
        <v>93741305</v>
      </c>
      <c r="Q27" s="494">
        <f t="shared" si="24"/>
        <v>93741305</v>
      </c>
      <c r="R27" s="495">
        <f t="shared" si="24"/>
        <v>370916752</v>
      </c>
      <c r="S27" s="513">
        <f t="shared" ref="S27" si="25">SUM(S25:S26)</f>
        <v>266538927</v>
      </c>
      <c r="T27" s="438">
        <f>S27-O27</f>
        <v>-10636520</v>
      </c>
      <c r="U27" s="438">
        <f t="shared" si="16"/>
        <v>-104377825</v>
      </c>
      <c r="V27" s="232"/>
      <c r="W27" s="494">
        <f t="shared" si="24"/>
        <v>277175447</v>
      </c>
      <c r="X27" s="495">
        <f t="shared" si="24"/>
        <v>104868744</v>
      </c>
      <c r="Y27" s="494">
        <f t="shared" si="24"/>
        <v>93741305</v>
      </c>
      <c r="Z27" s="495">
        <f t="shared" si="24"/>
        <v>370916752</v>
      </c>
      <c r="AA27" s="495">
        <f t="shared" ref="AA27" si="26">SUM(AA25:AA26)</f>
        <v>266538927</v>
      </c>
      <c r="AB27" s="438">
        <f>AA27-W27</f>
        <v>-10636520</v>
      </c>
      <c r="AC27" s="438">
        <f t="shared" si="17"/>
        <v>-104377825</v>
      </c>
    </row>
    <row r="28" spans="1:29" ht="15.75" customHeight="1" thickBot="1" x14ac:dyDescent="0.3">
      <c r="A28" s="3" t="s">
        <v>3</v>
      </c>
      <c r="B28" s="4"/>
      <c r="C28" s="5" t="s">
        <v>19</v>
      </c>
      <c r="D28" s="300">
        <v>149841581</v>
      </c>
      <c r="E28" s="237"/>
      <c r="F28" s="136">
        <v>149841581</v>
      </c>
      <c r="G28" s="187">
        <v>21963172</v>
      </c>
      <c r="H28" s="187">
        <v>15000000</v>
      </c>
      <c r="I28" s="187">
        <f>H28+F28</f>
        <v>164841581</v>
      </c>
      <c r="J28" s="187">
        <v>164841581</v>
      </c>
      <c r="K28" s="440">
        <f t="shared" si="23"/>
        <v>15000000</v>
      </c>
      <c r="L28" s="440">
        <f t="shared" si="15"/>
        <v>0</v>
      </c>
      <c r="M28" s="440">
        <f t="shared" si="9"/>
        <v>15000000</v>
      </c>
      <c r="N28" s="237"/>
      <c r="O28" s="136">
        <v>149841581</v>
      </c>
      <c r="P28" s="187">
        <v>30353410</v>
      </c>
      <c r="Q28" s="136">
        <v>20000000</v>
      </c>
      <c r="R28" s="187">
        <f>Q28+O28</f>
        <v>169841581</v>
      </c>
      <c r="S28" s="395">
        <v>169841581</v>
      </c>
      <c r="T28" s="504">
        <f t="shared" si="4"/>
        <v>20000000</v>
      </c>
      <c r="U28" s="440">
        <f t="shared" si="16"/>
        <v>0</v>
      </c>
      <c r="V28" s="237"/>
      <c r="W28" s="136">
        <v>149841581</v>
      </c>
      <c r="X28" s="187">
        <v>39163159</v>
      </c>
      <c r="Y28" s="136">
        <v>25000000</v>
      </c>
      <c r="Z28" s="187">
        <f>Y28+W28</f>
        <v>174841581</v>
      </c>
      <c r="AA28" s="187">
        <v>174841581</v>
      </c>
      <c r="AB28" s="504">
        <f t="shared" si="5"/>
        <v>25000000</v>
      </c>
      <c r="AC28" s="440">
        <f t="shared" si="17"/>
        <v>0</v>
      </c>
    </row>
    <row r="29" spans="1:29" ht="15.75" customHeight="1" thickBot="1" x14ac:dyDescent="0.3">
      <c r="A29" s="44" t="s">
        <v>3</v>
      </c>
      <c r="B29" s="45"/>
      <c r="C29" s="46" t="s">
        <v>0</v>
      </c>
      <c r="D29" s="190">
        <f t="shared" ref="D29:Z29" si="27">SUM(D28:D28)</f>
        <v>149841581</v>
      </c>
      <c r="E29" s="236"/>
      <c r="F29" s="221">
        <f t="shared" si="27"/>
        <v>149841581</v>
      </c>
      <c r="G29" s="52">
        <f t="shared" si="27"/>
        <v>21963172</v>
      </c>
      <c r="H29" s="52">
        <f>SUM(H28:H28)</f>
        <v>15000000</v>
      </c>
      <c r="I29" s="52">
        <f>SUM(I28:I28)</f>
        <v>164841581</v>
      </c>
      <c r="J29" s="52">
        <f>SUM(J28:J28)</f>
        <v>164841581</v>
      </c>
      <c r="K29" s="52">
        <f t="shared" si="23"/>
        <v>15000000</v>
      </c>
      <c r="L29" s="52">
        <f t="shared" si="15"/>
        <v>0</v>
      </c>
      <c r="M29" s="52">
        <f>J29-D29</f>
        <v>15000000</v>
      </c>
      <c r="N29" s="236"/>
      <c r="O29" s="221">
        <f t="shared" si="27"/>
        <v>149841581</v>
      </c>
      <c r="P29" s="52">
        <f t="shared" si="27"/>
        <v>30353410</v>
      </c>
      <c r="Q29" s="221">
        <f t="shared" si="27"/>
        <v>20000000</v>
      </c>
      <c r="R29" s="52">
        <f t="shared" si="27"/>
        <v>169841581</v>
      </c>
      <c r="S29" s="190">
        <f t="shared" ref="S29" si="28">SUM(S28:S28)</f>
        <v>169841581</v>
      </c>
      <c r="T29" s="52">
        <f>S29-O29</f>
        <v>20000000</v>
      </c>
      <c r="U29" s="52">
        <f t="shared" si="16"/>
        <v>0</v>
      </c>
      <c r="V29" s="236"/>
      <c r="W29" s="221">
        <f t="shared" si="27"/>
        <v>149841581</v>
      </c>
      <c r="X29" s="52">
        <f t="shared" si="27"/>
        <v>39163159</v>
      </c>
      <c r="Y29" s="221">
        <f t="shared" si="27"/>
        <v>25000000</v>
      </c>
      <c r="Z29" s="52">
        <f t="shared" si="27"/>
        <v>174841581</v>
      </c>
      <c r="AA29" s="52">
        <f t="shared" ref="AA29" si="29">SUM(AA28:AA28)</f>
        <v>174841581</v>
      </c>
      <c r="AB29" s="52">
        <f>AA29-W29</f>
        <v>25000000</v>
      </c>
      <c r="AC29" s="52">
        <f t="shared" si="17"/>
        <v>0</v>
      </c>
    </row>
    <row r="30" spans="1:29" ht="15.75" customHeight="1" x14ac:dyDescent="0.25">
      <c r="A30" s="2" t="s">
        <v>6</v>
      </c>
      <c r="B30" s="6"/>
      <c r="C30" s="10" t="s">
        <v>90</v>
      </c>
      <c r="D30" s="311">
        <v>505501566</v>
      </c>
      <c r="E30" s="230"/>
      <c r="F30" s="493">
        <v>505501566</v>
      </c>
      <c r="G30" s="489">
        <f>40000000+22000000</f>
        <v>62000000</v>
      </c>
      <c r="H30" s="489">
        <f>F30*0.08</f>
        <v>40440125.280000001</v>
      </c>
      <c r="I30" s="489">
        <f>H30+F30</f>
        <v>545941691.27999997</v>
      </c>
      <c r="J30" s="489">
        <v>486059198</v>
      </c>
      <c r="K30" s="384">
        <f t="shared" si="23"/>
        <v>-19442368</v>
      </c>
      <c r="L30" s="384">
        <f t="shared" si="15"/>
        <v>-59882493.279999971</v>
      </c>
      <c r="M30" s="384">
        <f t="shared" si="9"/>
        <v>-19442368</v>
      </c>
      <c r="N30" s="230"/>
      <c r="O30" s="493">
        <v>505501565.92000002</v>
      </c>
      <c r="P30" s="519">
        <f>40000000+45000000</f>
        <v>85000000</v>
      </c>
      <c r="Q30" s="493">
        <f>(I30*0.08)+H30</f>
        <v>84115460.582399994</v>
      </c>
      <c r="R30" s="489">
        <f>Q30+O30</f>
        <v>589617026.50240004</v>
      </c>
      <c r="S30" s="512">
        <v>486059198</v>
      </c>
      <c r="T30" s="515">
        <f t="shared" si="4"/>
        <v>-19442367.920000017</v>
      </c>
      <c r="U30" s="384">
        <f t="shared" si="16"/>
        <v>-103557828.50240004</v>
      </c>
      <c r="V30" s="230"/>
      <c r="W30" s="493">
        <v>505501565.92000002</v>
      </c>
      <c r="X30" s="519">
        <f>40000000+68000000</f>
        <v>108000000</v>
      </c>
      <c r="Y30" s="493">
        <f>Q30</f>
        <v>84115460.582399994</v>
      </c>
      <c r="Z30" s="489">
        <f>Y30+W30</f>
        <v>589617026.50240004</v>
      </c>
      <c r="AA30" s="489">
        <v>486059198</v>
      </c>
      <c r="AB30" s="515">
        <f t="shared" si="5"/>
        <v>-19442367.920000017</v>
      </c>
      <c r="AC30" s="384">
        <f t="shared" si="17"/>
        <v>-103557828.50240004</v>
      </c>
    </row>
    <row r="31" spans="1:29" ht="15.75" customHeight="1" x14ac:dyDescent="0.25">
      <c r="A31" s="2" t="s">
        <v>6</v>
      </c>
      <c r="B31" s="6"/>
      <c r="C31" s="7" t="s">
        <v>167</v>
      </c>
      <c r="D31" s="311">
        <v>0</v>
      </c>
      <c r="E31" s="230"/>
      <c r="F31" s="493">
        <v>0</v>
      </c>
      <c r="G31" s="489"/>
      <c r="H31" s="489"/>
      <c r="I31" s="489">
        <f>H31+F31</f>
        <v>0</v>
      </c>
      <c r="J31" s="489">
        <v>0</v>
      </c>
      <c r="K31" s="440">
        <f t="shared" ref="K31:K32" si="30">J31-F31</f>
        <v>0</v>
      </c>
      <c r="L31" s="440">
        <v>0</v>
      </c>
      <c r="M31" s="489">
        <f t="shared" si="9"/>
        <v>0</v>
      </c>
      <c r="N31" s="230"/>
      <c r="O31" s="493">
        <v>0</v>
      </c>
      <c r="P31" s="489"/>
      <c r="Q31" s="493"/>
      <c r="R31" s="489">
        <f>Q31+O31</f>
        <v>0</v>
      </c>
      <c r="S31" s="512">
        <v>0</v>
      </c>
      <c r="T31" s="504">
        <f t="shared" si="4"/>
        <v>0</v>
      </c>
      <c r="U31" s="440">
        <v>0</v>
      </c>
      <c r="V31" s="230"/>
      <c r="W31" s="493">
        <v>0</v>
      </c>
      <c r="X31" s="489"/>
      <c r="Y31" s="493"/>
      <c r="Z31" s="489">
        <f>Y31+W31</f>
        <v>0</v>
      </c>
      <c r="AA31" s="489">
        <v>0</v>
      </c>
      <c r="AB31" s="504">
        <f t="shared" si="5"/>
        <v>0</v>
      </c>
      <c r="AC31" s="440">
        <v>0</v>
      </c>
    </row>
    <row r="32" spans="1:29" ht="15.75" customHeight="1" thickBot="1" x14ac:dyDescent="0.3">
      <c r="A32" s="2" t="s">
        <v>6</v>
      </c>
      <c r="B32" s="6"/>
      <c r="C32" s="7" t="s">
        <v>129</v>
      </c>
      <c r="D32" s="311">
        <v>5950000</v>
      </c>
      <c r="E32" s="230"/>
      <c r="F32" s="493">
        <v>5950000</v>
      </c>
      <c r="G32" s="489"/>
      <c r="H32" s="489"/>
      <c r="I32" s="489">
        <f>H32+F32</f>
        <v>5950000</v>
      </c>
      <c r="J32" s="489">
        <v>5950000</v>
      </c>
      <c r="K32" s="440">
        <f t="shared" si="30"/>
        <v>0</v>
      </c>
      <c r="L32" s="440">
        <f t="shared" ref="L32:L41" si="31">J32-I32</f>
        <v>0</v>
      </c>
      <c r="M32" s="489">
        <f t="shared" si="9"/>
        <v>0</v>
      </c>
      <c r="N32" s="230"/>
      <c r="O32" s="493">
        <v>5950000</v>
      </c>
      <c r="P32" s="489"/>
      <c r="Q32" s="493"/>
      <c r="R32" s="489">
        <f>Q32+O32</f>
        <v>5950000</v>
      </c>
      <c r="S32" s="512">
        <v>5950000</v>
      </c>
      <c r="T32" s="504">
        <f t="shared" si="4"/>
        <v>0</v>
      </c>
      <c r="U32" s="440">
        <f t="shared" ref="U32:U41" si="32">S32-R32</f>
        <v>0</v>
      </c>
      <c r="V32" s="230"/>
      <c r="W32" s="493">
        <v>5950000</v>
      </c>
      <c r="X32" s="489"/>
      <c r="Y32" s="493"/>
      <c r="Z32" s="489">
        <f>Y32+W32</f>
        <v>5950000</v>
      </c>
      <c r="AA32" s="489">
        <v>5950000</v>
      </c>
      <c r="AB32" s="504">
        <f t="shared" si="5"/>
        <v>0</v>
      </c>
      <c r="AC32" s="440">
        <f t="shared" ref="AC32:AC41" si="33">AA32-Z32</f>
        <v>0</v>
      </c>
    </row>
    <row r="33" spans="1:29" ht="15.75" customHeight="1" thickBot="1" x14ac:dyDescent="0.3">
      <c r="A33" s="44" t="s">
        <v>6</v>
      </c>
      <c r="B33" s="45"/>
      <c r="C33" s="46" t="s">
        <v>0</v>
      </c>
      <c r="D33" s="191">
        <f t="shared" ref="D33:AA33" si="34">SUM(D30:D32)</f>
        <v>511451566</v>
      </c>
      <c r="E33" s="238"/>
      <c r="F33" s="222">
        <f t="shared" si="34"/>
        <v>511451566</v>
      </c>
      <c r="G33" s="53">
        <f t="shared" si="34"/>
        <v>62000000</v>
      </c>
      <c r="H33" s="53">
        <f>SUM(H30:H32)</f>
        <v>40440125.280000001</v>
      </c>
      <c r="I33" s="53">
        <f>SUM(I30:I32)</f>
        <v>551891691.27999997</v>
      </c>
      <c r="J33" s="53">
        <f>SUM(J30:J32)</f>
        <v>492009198</v>
      </c>
      <c r="K33" s="377">
        <f>J33-F33</f>
        <v>-19442368</v>
      </c>
      <c r="L33" s="377">
        <f t="shared" si="31"/>
        <v>-59882493.279999971</v>
      </c>
      <c r="M33" s="377">
        <f>J33-D33</f>
        <v>-19442368</v>
      </c>
      <c r="N33" s="238"/>
      <c r="O33" s="222">
        <f t="shared" si="34"/>
        <v>511451565.92000002</v>
      </c>
      <c r="P33" s="53">
        <f t="shared" si="34"/>
        <v>85000000</v>
      </c>
      <c r="Q33" s="222">
        <f t="shared" si="34"/>
        <v>84115460.582399994</v>
      </c>
      <c r="R33" s="53">
        <f t="shared" si="34"/>
        <v>595567026.50240004</v>
      </c>
      <c r="S33" s="191">
        <f t="shared" si="34"/>
        <v>492009198</v>
      </c>
      <c r="T33" s="377">
        <f>S33-O33</f>
        <v>-19442367.920000017</v>
      </c>
      <c r="U33" s="377">
        <f t="shared" si="32"/>
        <v>-103557828.50240004</v>
      </c>
      <c r="V33" s="238"/>
      <c r="W33" s="222">
        <f t="shared" si="34"/>
        <v>511451565.92000002</v>
      </c>
      <c r="X33" s="53">
        <f t="shared" si="34"/>
        <v>108000000</v>
      </c>
      <c r="Y33" s="222">
        <f t="shared" si="34"/>
        <v>84115460.582399994</v>
      </c>
      <c r="Z33" s="53">
        <f t="shared" si="34"/>
        <v>595567026.50240004</v>
      </c>
      <c r="AA33" s="53">
        <f t="shared" si="34"/>
        <v>492009198</v>
      </c>
      <c r="AB33" s="377">
        <f>AA33-W33</f>
        <v>-19442367.920000017</v>
      </c>
      <c r="AC33" s="377">
        <f t="shared" si="33"/>
        <v>-103557828.50240004</v>
      </c>
    </row>
    <row r="34" spans="1:29" ht="15.75" customHeight="1" thickBot="1" x14ac:dyDescent="0.3">
      <c r="A34" s="17" t="s">
        <v>21</v>
      </c>
      <c r="B34" s="75"/>
      <c r="C34" s="10" t="s">
        <v>90</v>
      </c>
      <c r="D34" s="311">
        <v>91412441</v>
      </c>
      <c r="E34" s="230"/>
      <c r="F34" s="493">
        <v>91412441</v>
      </c>
      <c r="G34" s="489">
        <v>10156937</v>
      </c>
      <c r="H34" s="489">
        <f>F34*0.1</f>
        <v>9141244.0999999996</v>
      </c>
      <c r="I34" s="489">
        <f>H34+F34</f>
        <v>100553685.09999999</v>
      </c>
      <c r="J34" s="396">
        <v>87896578</v>
      </c>
      <c r="K34" s="384">
        <f>J34-F34</f>
        <v>-3515863</v>
      </c>
      <c r="L34" s="384">
        <f t="shared" si="31"/>
        <v>-12657107.099999994</v>
      </c>
      <c r="M34" s="384">
        <f t="shared" si="9"/>
        <v>-3515863</v>
      </c>
      <c r="N34" s="230"/>
      <c r="O34" s="493">
        <v>91412441</v>
      </c>
      <c r="P34" s="489">
        <v>14219713</v>
      </c>
      <c r="Q34" s="493">
        <f>(I34*0.08)+H34</f>
        <v>17185538.908</v>
      </c>
      <c r="R34" s="489">
        <f>Q34+O34</f>
        <v>108597979.90799999</v>
      </c>
      <c r="S34" s="443">
        <v>87896578</v>
      </c>
      <c r="T34" s="515">
        <f t="shared" si="4"/>
        <v>-3515863</v>
      </c>
      <c r="U34" s="384">
        <f t="shared" si="32"/>
        <v>-20701401.907999992</v>
      </c>
      <c r="V34" s="230"/>
      <c r="W34" s="493">
        <v>91412441</v>
      </c>
      <c r="X34" s="489">
        <v>18444998</v>
      </c>
      <c r="Y34" s="493">
        <f>Q34</f>
        <v>17185538.908</v>
      </c>
      <c r="Z34" s="489">
        <f>Y34+W34</f>
        <v>108597979.90799999</v>
      </c>
      <c r="AA34" s="396">
        <v>87896578</v>
      </c>
      <c r="AB34" s="515">
        <f t="shared" si="5"/>
        <v>-3515863</v>
      </c>
      <c r="AC34" s="384">
        <f t="shared" si="33"/>
        <v>-20701401.907999992</v>
      </c>
    </row>
    <row r="35" spans="1:29" ht="15.75" customHeight="1" thickBot="1" x14ac:dyDescent="0.3">
      <c r="A35" s="44" t="s">
        <v>21</v>
      </c>
      <c r="B35" s="45"/>
      <c r="C35" s="46" t="s">
        <v>0</v>
      </c>
      <c r="D35" s="188">
        <f t="shared" ref="D35:Z35" si="35">SUM(D34:D34)</f>
        <v>91412441</v>
      </c>
      <c r="E35" s="232"/>
      <c r="F35" s="494">
        <f t="shared" si="35"/>
        <v>91412441</v>
      </c>
      <c r="G35" s="495">
        <f t="shared" si="35"/>
        <v>10156937</v>
      </c>
      <c r="H35" s="495">
        <f>SUM(H34:H34)</f>
        <v>9141244.0999999996</v>
      </c>
      <c r="I35" s="495">
        <f>SUM(I34:I34)</f>
        <v>100553685.09999999</v>
      </c>
      <c r="J35" s="495">
        <f>SUM(J34:J34)</f>
        <v>87896578</v>
      </c>
      <c r="K35" s="438">
        <f>J35-F35</f>
        <v>-3515863</v>
      </c>
      <c r="L35" s="438">
        <f t="shared" si="31"/>
        <v>-12657107.099999994</v>
      </c>
      <c r="M35" s="438">
        <f>J35-D35</f>
        <v>-3515863</v>
      </c>
      <c r="N35" s="232"/>
      <c r="O35" s="494">
        <f t="shared" si="35"/>
        <v>91412441</v>
      </c>
      <c r="P35" s="495">
        <f t="shared" si="35"/>
        <v>14219713</v>
      </c>
      <c r="Q35" s="494">
        <f t="shared" si="35"/>
        <v>17185538.908</v>
      </c>
      <c r="R35" s="495">
        <f t="shared" si="35"/>
        <v>108597979.90799999</v>
      </c>
      <c r="S35" s="513">
        <f t="shared" ref="S35" si="36">SUM(S34:S34)</f>
        <v>87896578</v>
      </c>
      <c r="T35" s="438">
        <f>S35-O35</f>
        <v>-3515863</v>
      </c>
      <c r="U35" s="438">
        <f t="shared" si="32"/>
        <v>-20701401.907999992</v>
      </c>
      <c r="V35" s="232"/>
      <c r="W35" s="494">
        <f t="shared" si="35"/>
        <v>91412441</v>
      </c>
      <c r="X35" s="495">
        <f t="shared" si="35"/>
        <v>18444998</v>
      </c>
      <c r="Y35" s="494">
        <f t="shared" si="35"/>
        <v>17185538.908</v>
      </c>
      <c r="Z35" s="495">
        <f t="shared" si="35"/>
        <v>108597979.90799999</v>
      </c>
      <c r="AA35" s="495">
        <f t="shared" ref="AA35" si="37">SUM(AA34:AA34)</f>
        <v>87896578</v>
      </c>
      <c r="AB35" s="438">
        <f>AA35-W35</f>
        <v>-3515863</v>
      </c>
      <c r="AC35" s="438">
        <f t="shared" si="33"/>
        <v>-20701401.907999992</v>
      </c>
    </row>
    <row r="36" spans="1:29" ht="15.75" customHeight="1" x14ac:dyDescent="0.25">
      <c r="A36" s="3" t="s">
        <v>11</v>
      </c>
      <c r="B36" s="4"/>
      <c r="C36" s="10" t="s">
        <v>90</v>
      </c>
      <c r="D36" s="311">
        <v>547627167</v>
      </c>
      <c r="E36" s="230"/>
      <c r="F36" s="493">
        <v>547627167</v>
      </c>
      <c r="G36" s="489">
        <v>125205357</v>
      </c>
      <c r="H36" s="489">
        <f>F36*0.1</f>
        <v>54762716.700000003</v>
      </c>
      <c r="I36" s="489">
        <f>H36+F36</f>
        <v>602389883.70000005</v>
      </c>
      <c r="J36" s="135">
        <v>526564584</v>
      </c>
      <c r="K36" s="384">
        <f>J36-F36</f>
        <v>-21062583</v>
      </c>
      <c r="L36" s="384">
        <f t="shared" si="31"/>
        <v>-75825299.700000048</v>
      </c>
      <c r="M36" s="384">
        <f t="shared" si="9"/>
        <v>-21062583</v>
      </c>
      <c r="N36" s="230"/>
      <c r="O36" s="493">
        <v>547627167</v>
      </c>
      <c r="P36" s="489">
        <v>192488609</v>
      </c>
      <c r="Q36" s="493">
        <f>(I36*0.08)+H36</f>
        <v>102953907.396</v>
      </c>
      <c r="R36" s="489">
        <f>Q36+O36</f>
        <v>650581074.39600003</v>
      </c>
      <c r="S36" s="512">
        <v>526564584</v>
      </c>
      <c r="T36" s="515">
        <f t="shared" si="4"/>
        <v>-21062583</v>
      </c>
      <c r="U36" s="384">
        <f t="shared" si="32"/>
        <v>-124016490.39600003</v>
      </c>
      <c r="V36" s="230"/>
      <c r="W36" s="493">
        <v>547627167</v>
      </c>
      <c r="X36" s="489">
        <v>266500187</v>
      </c>
      <c r="Y36" s="493">
        <f>Q36</f>
        <v>102953907.396</v>
      </c>
      <c r="Z36" s="489">
        <f>Y36+W36</f>
        <v>650581074.39600003</v>
      </c>
      <c r="AA36" s="489">
        <v>526564584</v>
      </c>
      <c r="AB36" s="515">
        <f t="shared" si="5"/>
        <v>-21062583</v>
      </c>
      <c r="AC36" s="384">
        <f t="shared" si="33"/>
        <v>-124016490.39600003</v>
      </c>
    </row>
    <row r="37" spans="1:29" ht="15.75" customHeight="1" x14ac:dyDescent="0.25">
      <c r="A37" s="2" t="s">
        <v>11</v>
      </c>
      <c r="B37" s="6"/>
      <c r="C37" s="7" t="s">
        <v>129</v>
      </c>
      <c r="D37" s="311">
        <v>5000000</v>
      </c>
      <c r="E37" s="230"/>
      <c r="F37" s="493">
        <v>5000000</v>
      </c>
      <c r="G37" s="489"/>
      <c r="H37" s="489"/>
      <c r="I37" s="489">
        <f>H37+F37</f>
        <v>5000000</v>
      </c>
      <c r="J37" s="489">
        <v>4188000</v>
      </c>
      <c r="K37" s="384">
        <f t="shared" ref="K37:K38" si="38">J37-F37</f>
        <v>-812000</v>
      </c>
      <c r="L37" s="384">
        <f t="shared" si="31"/>
        <v>-812000</v>
      </c>
      <c r="M37" s="384">
        <f t="shared" si="9"/>
        <v>-812000</v>
      </c>
      <c r="N37" s="230"/>
      <c r="O37" s="493">
        <v>5000000</v>
      </c>
      <c r="P37" s="489"/>
      <c r="Q37" s="493"/>
      <c r="R37" s="489">
        <f>Q37+O37</f>
        <v>5000000</v>
      </c>
      <c r="S37" s="512">
        <v>4188000</v>
      </c>
      <c r="T37" s="515">
        <f t="shared" si="4"/>
        <v>-812000</v>
      </c>
      <c r="U37" s="384">
        <f t="shared" si="32"/>
        <v>-812000</v>
      </c>
      <c r="V37" s="230"/>
      <c r="W37" s="493">
        <v>5000000</v>
      </c>
      <c r="X37" s="489"/>
      <c r="Y37" s="493"/>
      <c r="Z37" s="489">
        <f>Y37+W37</f>
        <v>5000000</v>
      </c>
      <c r="AA37" s="489">
        <v>4188000</v>
      </c>
      <c r="AB37" s="515">
        <f t="shared" si="5"/>
        <v>-812000</v>
      </c>
      <c r="AC37" s="384">
        <f t="shared" si="33"/>
        <v>-812000</v>
      </c>
    </row>
    <row r="38" spans="1:29" ht="15.75" customHeight="1" thickBot="1" x14ac:dyDescent="0.3">
      <c r="A38" s="2" t="s">
        <v>11</v>
      </c>
      <c r="B38" s="6"/>
      <c r="C38" s="7" t="s">
        <v>91</v>
      </c>
      <c r="D38" s="311">
        <v>480000</v>
      </c>
      <c r="E38" s="230"/>
      <c r="F38" s="493">
        <v>480000</v>
      </c>
      <c r="G38" s="489"/>
      <c r="H38" s="489"/>
      <c r="I38" s="489">
        <f>H38+F38</f>
        <v>480000</v>
      </c>
      <c r="J38" s="489">
        <v>480000</v>
      </c>
      <c r="K38" s="440">
        <f t="shared" si="38"/>
        <v>0</v>
      </c>
      <c r="L38" s="440">
        <f t="shared" si="31"/>
        <v>0</v>
      </c>
      <c r="M38" s="489">
        <f t="shared" si="9"/>
        <v>0</v>
      </c>
      <c r="N38" s="230"/>
      <c r="O38" s="493">
        <v>480000</v>
      </c>
      <c r="P38" s="489"/>
      <c r="Q38" s="493"/>
      <c r="R38" s="489">
        <f>Q38+O38</f>
        <v>480000</v>
      </c>
      <c r="S38" s="512">
        <v>480000</v>
      </c>
      <c r="T38" s="504">
        <f t="shared" si="4"/>
        <v>0</v>
      </c>
      <c r="U38" s="440">
        <f t="shared" si="32"/>
        <v>0</v>
      </c>
      <c r="V38" s="230"/>
      <c r="W38" s="493">
        <v>480000</v>
      </c>
      <c r="X38" s="489"/>
      <c r="Y38" s="493"/>
      <c r="Z38" s="489">
        <f>Y38+W38</f>
        <v>480000</v>
      </c>
      <c r="AA38" s="489">
        <v>480000</v>
      </c>
      <c r="AB38" s="504">
        <f t="shared" si="5"/>
        <v>0</v>
      </c>
      <c r="AC38" s="440">
        <f t="shared" si="33"/>
        <v>0</v>
      </c>
    </row>
    <row r="39" spans="1:29" ht="15.75" customHeight="1" thickBot="1" x14ac:dyDescent="0.3">
      <c r="A39" s="44" t="s">
        <v>11</v>
      </c>
      <c r="B39" s="45"/>
      <c r="C39" s="46" t="s">
        <v>0</v>
      </c>
      <c r="D39" s="190">
        <f t="shared" ref="D39:AA39" si="39">SUM(D36:D38)</f>
        <v>553107167</v>
      </c>
      <c r="E39" s="236"/>
      <c r="F39" s="221">
        <f t="shared" si="39"/>
        <v>553107167</v>
      </c>
      <c r="G39" s="52">
        <f t="shared" si="39"/>
        <v>125205357</v>
      </c>
      <c r="H39" s="52">
        <f>SUM(H36:H38)</f>
        <v>54762716.700000003</v>
      </c>
      <c r="I39" s="52">
        <f>SUM(I36:I38)</f>
        <v>607869883.70000005</v>
      </c>
      <c r="J39" s="52">
        <v>531232584</v>
      </c>
      <c r="K39" s="377">
        <f>J39-F39</f>
        <v>-21874583</v>
      </c>
      <c r="L39" s="377">
        <f t="shared" si="31"/>
        <v>-76637299.700000048</v>
      </c>
      <c r="M39" s="377">
        <f>J39-D39</f>
        <v>-21874583</v>
      </c>
      <c r="N39" s="236"/>
      <c r="O39" s="221">
        <f t="shared" si="39"/>
        <v>553107167</v>
      </c>
      <c r="P39" s="52">
        <f t="shared" si="39"/>
        <v>192488609</v>
      </c>
      <c r="Q39" s="221">
        <f t="shared" si="39"/>
        <v>102953907.396</v>
      </c>
      <c r="R39" s="52">
        <f t="shared" si="39"/>
        <v>656061074.39600003</v>
      </c>
      <c r="S39" s="190">
        <f t="shared" si="39"/>
        <v>531232584</v>
      </c>
      <c r="T39" s="377">
        <f>S39-O39</f>
        <v>-21874583</v>
      </c>
      <c r="U39" s="377">
        <f t="shared" si="32"/>
        <v>-124828490.39600003</v>
      </c>
      <c r="V39" s="236"/>
      <c r="W39" s="221">
        <f t="shared" si="39"/>
        <v>553107167</v>
      </c>
      <c r="X39" s="52">
        <f t="shared" si="39"/>
        <v>266500187</v>
      </c>
      <c r="Y39" s="221">
        <f t="shared" si="39"/>
        <v>102953907.396</v>
      </c>
      <c r="Z39" s="52">
        <f t="shared" si="39"/>
        <v>656061074.39600003</v>
      </c>
      <c r="AA39" s="52">
        <f t="shared" si="39"/>
        <v>531232584</v>
      </c>
      <c r="AB39" s="377">
        <f>AA39-W39</f>
        <v>-21874583</v>
      </c>
      <c r="AC39" s="377">
        <f t="shared" si="33"/>
        <v>-124828490.39600003</v>
      </c>
    </row>
    <row r="40" spans="1:29" ht="15.75" customHeight="1" x14ac:dyDescent="0.25">
      <c r="A40" s="3" t="s">
        <v>7</v>
      </c>
      <c r="B40" s="4"/>
      <c r="C40" s="10" t="s">
        <v>90</v>
      </c>
      <c r="D40" s="300">
        <v>9570111989</v>
      </c>
      <c r="E40" s="237"/>
      <c r="F40" s="136">
        <v>9570111989</v>
      </c>
      <c r="G40" s="187">
        <v>382804480</v>
      </c>
      <c r="H40" s="187">
        <f>F40*0.04</f>
        <v>382804479.56</v>
      </c>
      <c r="I40" s="187">
        <f t="shared" ref="I40:I46" si="40">H40+F40</f>
        <v>9952916468.5599995</v>
      </c>
      <c r="J40" s="400">
        <v>9502030759</v>
      </c>
      <c r="K40" s="384">
        <f>J40-F40</f>
        <v>-68081230</v>
      </c>
      <c r="L40" s="384">
        <f t="shared" si="31"/>
        <v>-450885709.55999947</v>
      </c>
      <c r="M40" s="384">
        <f t="shared" si="9"/>
        <v>-68081230</v>
      </c>
      <c r="N40" s="237"/>
      <c r="O40" s="136">
        <v>9570111989</v>
      </c>
      <c r="P40" s="187">
        <v>780921138</v>
      </c>
      <c r="Q40" s="136">
        <f>(I40*0.04)+H40</f>
        <v>780921138.30239999</v>
      </c>
      <c r="R40" s="187">
        <f t="shared" ref="R40:R46" si="41">Q40+O40</f>
        <v>10351033127.302401</v>
      </c>
      <c r="S40" s="395">
        <v>9502030759</v>
      </c>
      <c r="T40" s="515">
        <f t="shared" si="4"/>
        <v>-68081230</v>
      </c>
      <c r="U40" s="384">
        <f t="shared" si="32"/>
        <v>-849002368.30240059</v>
      </c>
      <c r="V40" s="237"/>
      <c r="W40" s="136">
        <v>9570111989</v>
      </c>
      <c r="X40" s="187">
        <v>1194962463</v>
      </c>
      <c r="Y40" s="136">
        <f>Q40</f>
        <v>780921138.30239999</v>
      </c>
      <c r="Z40" s="187">
        <f t="shared" ref="Z40:Z46" si="42">Y40+W40</f>
        <v>10351033127.302401</v>
      </c>
      <c r="AA40" s="187">
        <v>9502030759</v>
      </c>
      <c r="AB40" s="515">
        <f t="shared" si="5"/>
        <v>-68081230</v>
      </c>
      <c r="AC40" s="384">
        <f t="shared" si="33"/>
        <v>-849002368.30240059</v>
      </c>
    </row>
    <row r="41" spans="1:29" ht="15.75" customHeight="1" x14ac:dyDescent="0.25">
      <c r="A41" s="3" t="s">
        <v>7</v>
      </c>
      <c r="B41" s="4"/>
      <c r="C41" s="7" t="s">
        <v>129</v>
      </c>
      <c r="D41" s="300">
        <v>15000000</v>
      </c>
      <c r="E41" s="237"/>
      <c r="F41" s="136">
        <v>15000000</v>
      </c>
      <c r="G41" s="187">
        <v>5000000</v>
      </c>
      <c r="H41" s="187">
        <v>5000000</v>
      </c>
      <c r="I41" s="187">
        <f t="shared" si="40"/>
        <v>20000000</v>
      </c>
      <c r="J41" s="400">
        <v>20000000</v>
      </c>
      <c r="K41" s="440">
        <f t="shared" ref="K41:K46" si="43">J41-F41</f>
        <v>5000000</v>
      </c>
      <c r="L41" s="440">
        <f t="shared" si="31"/>
        <v>0</v>
      </c>
      <c r="M41" s="489">
        <f t="shared" si="9"/>
        <v>5000000</v>
      </c>
      <c r="N41" s="237"/>
      <c r="O41" s="136">
        <v>15000000</v>
      </c>
      <c r="P41" s="187">
        <v>5000000</v>
      </c>
      <c r="Q41" s="395">
        <v>5000000</v>
      </c>
      <c r="R41" s="187">
        <f t="shared" si="41"/>
        <v>20000000</v>
      </c>
      <c r="S41" s="395">
        <v>20000000</v>
      </c>
      <c r="T41" s="504">
        <f t="shared" si="4"/>
        <v>5000000</v>
      </c>
      <c r="U41" s="440">
        <f t="shared" si="32"/>
        <v>0</v>
      </c>
      <c r="V41" s="237"/>
      <c r="W41" s="136">
        <v>15000000</v>
      </c>
      <c r="X41" s="187">
        <v>5000000</v>
      </c>
      <c r="Y41" s="395">
        <v>5000000</v>
      </c>
      <c r="Z41" s="187">
        <f t="shared" si="42"/>
        <v>20000000</v>
      </c>
      <c r="AA41" s="187">
        <v>20000000</v>
      </c>
      <c r="AB41" s="504">
        <f t="shared" si="5"/>
        <v>5000000</v>
      </c>
      <c r="AC41" s="440">
        <f t="shared" si="33"/>
        <v>0</v>
      </c>
    </row>
    <row r="42" spans="1:29" ht="15.75" customHeight="1" x14ac:dyDescent="0.25">
      <c r="A42" s="3" t="s">
        <v>7</v>
      </c>
      <c r="B42" s="4"/>
      <c r="C42" s="76" t="s">
        <v>91</v>
      </c>
      <c r="D42" s="300">
        <v>900000</v>
      </c>
      <c r="E42" s="237"/>
      <c r="F42" s="136">
        <v>900000</v>
      </c>
      <c r="G42" s="187">
        <v>100000</v>
      </c>
      <c r="H42" s="187">
        <v>100000</v>
      </c>
      <c r="I42" s="187">
        <f t="shared" si="40"/>
        <v>1000000</v>
      </c>
      <c r="J42" s="400">
        <v>1000000</v>
      </c>
      <c r="K42" s="440">
        <f t="shared" si="43"/>
        <v>100000</v>
      </c>
      <c r="L42" s="440">
        <f t="shared" ref="L42:L46" si="44">J42-I42</f>
        <v>0</v>
      </c>
      <c r="M42" s="489">
        <f t="shared" si="9"/>
        <v>100000</v>
      </c>
      <c r="N42" s="237"/>
      <c r="O42" s="136">
        <v>900000</v>
      </c>
      <c r="P42" s="187">
        <v>100000</v>
      </c>
      <c r="Q42" s="136">
        <v>100000</v>
      </c>
      <c r="R42" s="187">
        <f t="shared" si="41"/>
        <v>1000000</v>
      </c>
      <c r="S42" s="395">
        <v>1000000</v>
      </c>
      <c r="T42" s="504">
        <f t="shared" si="4"/>
        <v>100000</v>
      </c>
      <c r="U42" s="440">
        <f t="shared" ref="U42:U46" si="45">S42-R42</f>
        <v>0</v>
      </c>
      <c r="V42" s="237"/>
      <c r="W42" s="136">
        <v>900000</v>
      </c>
      <c r="X42" s="187">
        <v>100000</v>
      </c>
      <c r="Y42" s="136">
        <v>100000</v>
      </c>
      <c r="Z42" s="187">
        <f t="shared" si="42"/>
        <v>1000000</v>
      </c>
      <c r="AA42" s="187">
        <v>1000000</v>
      </c>
      <c r="AB42" s="504">
        <f t="shared" si="5"/>
        <v>100000</v>
      </c>
      <c r="AC42" s="440">
        <f t="shared" ref="AC42:AC46" si="46">AA42-Z42</f>
        <v>0</v>
      </c>
    </row>
    <row r="43" spans="1:29" ht="15.75" customHeight="1" x14ac:dyDescent="0.25">
      <c r="A43" s="3" t="s">
        <v>7</v>
      </c>
      <c r="B43" s="4"/>
      <c r="C43" s="76" t="s">
        <v>27</v>
      </c>
      <c r="D43" s="300">
        <v>5000000</v>
      </c>
      <c r="E43" s="237"/>
      <c r="F43" s="136">
        <v>5000000</v>
      </c>
      <c r="G43" s="187">
        <v>2000000</v>
      </c>
      <c r="H43" s="187">
        <v>2000000</v>
      </c>
      <c r="I43" s="187">
        <f t="shared" si="40"/>
        <v>7000000</v>
      </c>
      <c r="J43" s="400">
        <v>7000000</v>
      </c>
      <c r="K43" s="440">
        <f t="shared" si="43"/>
        <v>2000000</v>
      </c>
      <c r="L43" s="440">
        <f t="shared" si="44"/>
        <v>0</v>
      </c>
      <c r="M43" s="489">
        <f t="shared" si="9"/>
        <v>2000000</v>
      </c>
      <c r="N43" s="237"/>
      <c r="O43" s="136">
        <v>5000000</v>
      </c>
      <c r="P43" s="187">
        <v>2000000</v>
      </c>
      <c r="Q43" s="395">
        <v>2000000</v>
      </c>
      <c r="R43" s="187">
        <f t="shared" si="41"/>
        <v>7000000</v>
      </c>
      <c r="S43" s="395">
        <v>7000000</v>
      </c>
      <c r="T43" s="504">
        <f t="shared" si="4"/>
        <v>2000000</v>
      </c>
      <c r="U43" s="440">
        <f t="shared" si="45"/>
        <v>0</v>
      </c>
      <c r="V43" s="237"/>
      <c r="W43" s="136">
        <v>5000000</v>
      </c>
      <c r="X43" s="187">
        <v>2000000</v>
      </c>
      <c r="Y43" s="395">
        <v>2000000</v>
      </c>
      <c r="Z43" s="187">
        <f t="shared" si="42"/>
        <v>7000000</v>
      </c>
      <c r="AA43" s="187">
        <v>7000000</v>
      </c>
      <c r="AB43" s="504">
        <f t="shared" si="5"/>
        <v>2000000</v>
      </c>
      <c r="AC43" s="440">
        <f t="shared" si="46"/>
        <v>0</v>
      </c>
    </row>
    <row r="44" spans="1:29" ht="15.75" customHeight="1" x14ac:dyDescent="0.25">
      <c r="A44" s="3" t="s">
        <v>7</v>
      </c>
      <c r="B44" s="4"/>
      <c r="C44" s="76" t="s">
        <v>65</v>
      </c>
      <c r="D44" s="300">
        <v>1903221627</v>
      </c>
      <c r="E44" s="237"/>
      <c r="F44" s="136">
        <v>1903221627</v>
      </c>
      <c r="G44" s="187">
        <v>495822309</v>
      </c>
      <c r="H44" s="187">
        <v>495822309</v>
      </c>
      <c r="I44" s="187">
        <f t="shared" si="40"/>
        <v>2399043936</v>
      </c>
      <c r="J44" s="400">
        <v>2399043936</v>
      </c>
      <c r="K44" s="440">
        <f t="shared" si="43"/>
        <v>495822309</v>
      </c>
      <c r="L44" s="440">
        <f t="shared" si="44"/>
        <v>0</v>
      </c>
      <c r="M44" s="489">
        <f t="shared" si="9"/>
        <v>495822309</v>
      </c>
      <c r="N44" s="237"/>
      <c r="O44" s="136">
        <v>1903221627</v>
      </c>
      <c r="P44" s="187">
        <v>46778373</v>
      </c>
      <c r="Q44" s="395">
        <v>46778373</v>
      </c>
      <c r="R44" s="187">
        <f t="shared" si="41"/>
        <v>1950000000</v>
      </c>
      <c r="S44" s="395">
        <v>1950000000</v>
      </c>
      <c r="T44" s="504">
        <f t="shared" si="4"/>
        <v>46778373</v>
      </c>
      <c r="U44" s="440">
        <f t="shared" si="45"/>
        <v>0</v>
      </c>
      <c r="V44" s="237"/>
      <c r="W44" s="136">
        <v>1903221627</v>
      </c>
      <c r="X44" s="374">
        <v>-653221627</v>
      </c>
      <c r="Y44" s="375">
        <v>-653221627</v>
      </c>
      <c r="Z44" s="187">
        <f t="shared" si="42"/>
        <v>1250000000</v>
      </c>
      <c r="AA44" s="187">
        <v>1250000000</v>
      </c>
      <c r="AB44" s="515">
        <f t="shared" si="5"/>
        <v>-653221627</v>
      </c>
      <c r="AC44" s="440">
        <f t="shared" si="46"/>
        <v>0</v>
      </c>
    </row>
    <row r="45" spans="1:29" ht="15.75" customHeight="1" x14ac:dyDescent="0.25">
      <c r="A45" s="3" t="s">
        <v>7</v>
      </c>
      <c r="B45" s="4"/>
      <c r="C45" s="76" t="s">
        <v>88</v>
      </c>
      <c r="D45" s="314">
        <v>1835389000</v>
      </c>
      <c r="E45" s="239"/>
      <c r="F45" s="501">
        <v>1720634000</v>
      </c>
      <c r="G45" s="440">
        <v>82244000</v>
      </c>
      <c r="H45" s="440">
        <v>80000000</v>
      </c>
      <c r="I45" s="187">
        <f t="shared" si="40"/>
        <v>1800634000</v>
      </c>
      <c r="J45" s="400">
        <v>1421481874</v>
      </c>
      <c r="K45" s="384">
        <f t="shared" si="43"/>
        <v>-299152126</v>
      </c>
      <c r="L45" s="384">
        <f t="shared" si="44"/>
        <v>-379152126</v>
      </c>
      <c r="M45" s="384">
        <f t="shared" si="9"/>
        <v>-413907126</v>
      </c>
      <c r="N45" s="239"/>
      <c r="O45" s="501">
        <v>1712100000</v>
      </c>
      <c r="P45" s="440">
        <v>146274000</v>
      </c>
      <c r="Q45" s="433">
        <v>136274000</v>
      </c>
      <c r="R45" s="187">
        <f t="shared" si="41"/>
        <v>1848374000</v>
      </c>
      <c r="S45" s="395">
        <v>1592947874</v>
      </c>
      <c r="T45" s="515">
        <f t="shared" si="4"/>
        <v>-119152126</v>
      </c>
      <c r="U45" s="384">
        <f t="shared" si="45"/>
        <v>-255426126</v>
      </c>
      <c r="V45" s="239"/>
      <c r="W45" s="501">
        <v>1712100000</v>
      </c>
      <c r="X45" s="440">
        <v>187848000</v>
      </c>
      <c r="Y45" s="433">
        <v>167848000</v>
      </c>
      <c r="Z45" s="187">
        <f t="shared" si="42"/>
        <v>1879948000</v>
      </c>
      <c r="AA45" s="187">
        <v>1862947874</v>
      </c>
      <c r="AB45" s="504">
        <f t="shared" si="5"/>
        <v>150847874</v>
      </c>
      <c r="AC45" s="384">
        <f t="shared" si="46"/>
        <v>-17000126</v>
      </c>
    </row>
    <row r="46" spans="1:29" ht="15.75" customHeight="1" thickBot="1" x14ac:dyDescent="0.3">
      <c r="A46" s="132" t="s">
        <v>7</v>
      </c>
      <c r="B46" s="42"/>
      <c r="C46" s="76" t="s">
        <v>89</v>
      </c>
      <c r="D46" s="314">
        <v>761532000</v>
      </c>
      <c r="E46" s="239"/>
      <c r="F46" s="501">
        <f>2596921000-1720634000</f>
        <v>876287000</v>
      </c>
      <c r="G46" s="440">
        <v>115436000</v>
      </c>
      <c r="H46" s="440">
        <v>100000000</v>
      </c>
      <c r="I46" s="187">
        <f t="shared" si="40"/>
        <v>976287000</v>
      </c>
      <c r="J46" s="400">
        <v>876287000</v>
      </c>
      <c r="K46" s="440">
        <f t="shared" si="43"/>
        <v>0</v>
      </c>
      <c r="L46" s="384">
        <f t="shared" si="44"/>
        <v>-100000000</v>
      </c>
      <c r="M46" s="440">
        <f t="shared" si="9"/>
        <v>114755000</v>
      </c>
      <c r="N46" s="239"/>
      <c r="O46" s="501">
        <f>2596921000-1712100000</f>
        <v>884821000</v>
      </c>
      <c r="P46" s="440">
        <v>155468000</v>
      </c>
      <c r="Q46" s="433">
        <v>130468000</v>
      </c>
      <c r="R46" s="187">
        <f t="shared" si="41"/>
        <v>1015289000</v>
      </c>
      <c r="S46" s="395">
        <v>884821000</v>
      </c>
      <c r="T46" s="504">
        <f t="shared" si="4"/>
        <v>0</v>
      </c>
      <c r="U46" s="384">
        <f t="shared" si="45"/>
        <v>-130468000</v>
      </c>
      <c r="V46" s="239"/>
      <c r="W46" s="501">
        <f>2596921000-1712100000</f>
        <v>884821000</v>
      </c>
      <c r="X46" s="440">
        <v>186670000</v>
      </c>
      <c r="Y46" s="433">
        <v>152670000</v>
      </c>
      <c r="Z46" s="187">
        <f t="shared" si="42"/>
        <v>1037491000</v>
      </c>
      <c r="AA46" s="187">
        <v>884821000</v>
      </c>
      <c r="AB46" s="504">
        <f t="shared" si="5"/>
        <v>0</v>
      </c>
      <c r="AC46" s="384">
        <f t="shared" si="46"/>
        <v>-152670000</v>
      </c>
    </row>
    <row r="47" spans="1:29" ht="15.75" customHeight="1" thickBot="1" x14ac:dyDescent="0.3">
      <c r="A47" s="44" t="s">
        <v>7</v>
      </c>
      <c r="B47" s="45"/>
      <c r="C47" s="46" t="s">
        <v>0</v>
      </c>
      <c r="D47" s="191">
        <f t="shared" ref="D47:Z47" si="47">SUM(D40:D46)</f>
        <v>14091154616</v>
      </c>
      <c r="E47" s="238"/>
      <c r="F47" s="222">
        <f t="shared" si="47"/>
        <v>14091154616</v>
      </c>
      <c r="G47" s="53">
        <f t="shared" si="47"/>
        <v>1083406789</v>
      </c>
      <c r="H47" s="53">
        <f>SUM(H40:H46)</f>
        <v>1065726788.5599999</v>
      </c>
      <c r="I47" s="53">
        <f>SUM(I40:I46)</f>
        <v>15156881404.559999</v>
      </c>
      <c r="J47" s="53">
        <f>SUM(J40:J46)</f>
        <v>14226843569</v>
      </c>
      <c r="K47" s="52">
        <f>J47-F47</f>
        <v>135688953</v>
      </c>
      <c r="L47" s="377">
        <f t="shared" ref="L47:L59" si="48">J47-I47</f>
        <v>-930037835.55999947</v>
      </c>
      <c r="M47" s="52">
        <f>J47-D47</f>
        <v>135688953</v>
      </c>
      <c r="N47" s="238"/>
      <c r="O47" s="222">
        <f t="shared" si="47"/>
        <v>14091154616</v>
      </c>
      <c r="P47" s="53">
        <f t="shared" si="47"/>
        <v>1136541511</v>
      </c>
      <c r="Q47" s="222">
        <f t="shared" si="47"/>
        <v>1101541511.3024001</v>
      </c>
      <c r="R47" s="53">
        <f t="shared" si="47"/>
        <v>15192696127.302401</v>
      </c>
      <c r="S47" s="444">
        <v>13126843569</v>
      </c>
      <c r="T47" s="377">
        <f>S47-O47</f>
        <v>-964311047</v>
      </c>
      <c r="U47" s="377">
        <f t="shared" ref="U47:U59" si="49">S47-R47</f>
        <v>-2065852558.3024006</v>
      </c>
      <c r="V47" s="238"/>
      <c r="W47" s="222">
        <f t="shared" si="47"/>
        <v>14091154616</v>
      </c>
      <c r="X47" s="53">
        <f t="shared" si="47"/>
        <v>923358836</v>
      </c>
      <c r="Y47" s="222">
        <f t="shared" si="47"/>
        <v>455317511.30239999</v>
      </c>
      <c r="Z47" s="53">
        <f t="shared" si="47"/>
        <v>14546472127.302401</v>
      </c>
      <c r="AA47" s="426">
        <v>13126843569</v>
      </c>
      <c r="AB47" s="377">
        <f>AA47-W47</f>
        <v>-964311047</v>
      </c>
      <c r="AC47" s="377">
        <f t="shared" ref="AC47:AC59" si="50">AA47-Z47</f>
        <v>-1419628558.3024006</v>
      </c>
    </row>
    <row r="48" spans="1:29" ht="15.75" customHeight="1" x14ac:dyDescent="0.25">
      <c r="A48" s="3" t="s">
        <v>4</v>
      </c>
      <c r="B48" s="4"/>
      <c r="C48" s="10" t="s">
        <v>90</v>
      </c>
      <c r="D48" s="311">
        <v>148950000</v>
      </c>
      <c r="E48" s="230"/>
      <c r="F48" s="493">
        <v>148950000</v>
      </c>
      <c r="G48" s="489">
        <v>54050000</v>
      </c>
      <c r="H48" s="489">
        <f>F48*0.08</f>
        <v>11916000</v>
      </c>
      <c r="I48" s="489">
        <f>H48+F48</f>
        <v>160866000</v>
      </c>
      <c r="J48" s="493">
        <v>148950000</v>
      </c>
      <c r="K48" s="440">
        <f>J48-F48</f>
        <v>0</v>
      </c>
      <c r="L48" s="384">
        <f t="shared" si="48"/>
        <v>-11916000</v>
      </c>
      <c r="M48" s="440">
        <f t="shared" si="9"/>
        <v>0</v>
      </c>
      <c r="N48" s="230"/>
      <c r="O48" s="493">
        <v>148950000</v>
      </c>
      <c r="P48" s="489">
        <v>54050000</v>
      </c>
      <c r="Q48" s="493">
        <f>(I48*0.08)+H48</f>
        <v>24785280</v>
      </c>
      <c r="R48" s="489">
        <f>Q48+O48</f>
        <v>173735280</v>
      </c>
      <c r="S48" s="512">
        <v>148950000</v>
      </c>
      <c r="T48" s="504">
        <f t="shared" si="4"/>
        <v>0</v>
      </c>
      <c r="U48" s="384">
        <f t="shared" si="49"/>
        <v>-24785280</v>
      </c>
      <c r="V48" s="230"/>
      <c r="W48" s="493">
        <v>148950000</v>
      </c>
      <c r="X48" s="489">
        <v>54050000</v>
      </c>
      <c r="Y48" s="493">
        <f>Q48</f>
        <v>24785280</v>
      </c>
      <c r="Z48" s="489">
        <f>Y48+W48</f>
        <v>173735280</v>
      </c>
      <c r="AA48" s="489">
        <v>148950000</v>
      </c>
      <c r="AB48" s="504">
        <f t="shared" si="5"/>
        <v>0</v>
      </c>
      <c r="AC48" s="384">
        <f t="shared" si="50"/>
        <v>-24785280</v>
      </c>
    </row>
    <row r="49" spans="1:29" ht="15.75" customHeight="1" thickBot="1" x14ac:dyDescent="0.3">
      <c r="A49" s="2" t="s">
        <v>4</v>
      </c>
      <c r="B49" s="6"/>
      <c r="C49" s="7" t="s">
        <v>129</v>
      </c>
      <c r="D49" s="311">
        <v>5000000</v>
      </c>
      <c r="E49" s="230"/>
      <c r="F49" s="493">
        <v>5000000</v>
      </c>
      <c r="G49" s="489">
        <v>3000000</v>
      </c>
      <c r="H49" s="489">
        <v>3000000</v>
      </c>
      <c r="I49" s="489">
        <f>H49+F49</f>
        <v>8000000</v>
      </c>
      <c r="J49" s="489">
        <v>5002881</v>
      </c>
      <c r="K49" s="440">
        <f>J49-F49</f>
        <v>2881</v>
      </c>
      <c r="L49" s="384">
        <f t="shared" si="48"/>
        <v>-2997119</v>
      </c>
      <c r="M49" s="440">
        <f t="shared" si="9"/>
        <v>2881</v>
      </c>
      <c r="N49" s="230"/>
      <c r="O49" s="493">
        <v>5000000</v>
      </c>
      <c r="P49" s="489">
        <v>3500000</v>
      </c>
      <c r="Q49" s="512">
        <v>3500000</v>
      </c>
      <c r="R49" s="489">
        <f>Q49+O49</f>
        <v>8500000</v>
      </c>
      <c r="S49" s="512">
        <v>5002881</v>
      </c>
      <c r="T49" s="504">
        <f t="shared" si="4"/>
        <v>2881</v>
      </c>
      <c r="U49" s="384">
        <f t="shared" si="49"/>
        <v>-3497119</v>
      </c>
      <c r="V49" s="230"/>
      <c r="W49" s="493">
        <v>5000000</v>
      </c>
      <c r="X49" s="489">
        <v>500000</v>
      </c>
      <c r="Y49" s="512">
        <v>500000</v>
      </c>
      <c r="Z49" s="489">
        <f>Y49+W49</f>
        <v>5500000</v>
      </c>
      <c r="AA49" s="489">
        <v>5002881</v>
      </c>
      <c r="AB49" s="504">
        <f t="shared" si="5"/>
        <v>2881</v>
      </c>
      <c r="AC49" s="384">
        <f t="shared" si="50"/>
        <v>-497119</v>
      </c>
    </row>
    <row r="50" spans="1:29" ht="15.75" customHeight="1" thickBot="1" x14ac:dyDescent="0.3">
      <c r="A50" s="44" t="s">
        <v>4</v>
      </c>
      <c r="B50" s="45"/>
      <c r="C50" s="46" t="s">
        <v>0</v>
      </c>
      <c r="D50" s="191">
        <f t="shared" ref="D50:AA50" si="51">SUM(D48:D49)</f>
        <v>153950000</v>
      </c>
      <c r="E50" s="238"/>
      <c r="F50" s="222">
        <f t="shared" si="51"/>
        <v>153950000</v>
      </c>
      <c r="G50" s="53">
        <f t="shared" si="51"/>
        <v>57050000</v>
      </c>
      <c r="H50" s="53">
        <f>SUM(H48:H49)</f>
        <v>14916000</v>
      </c>
      <c r="I50" s="53">
        <f>SUM(I48:I49)</f>
        <v>168866000</v>
      </c>
      <c r="J50" s="53">
        <f>SUM(J48:J49)</f>
        <v>153952881</v>
      </c>
      <c r="K50" s="52">
        <f>J50-F50</f>
        <v>2881</v>
      </c>
      <c r="L50" s="377">
        <f t="shared" si="48"/>
        <v>-14913119</v>
      </c>
      <c r="M50" s="52">
        <f>J50-D50</f>
        <v>2881</v>
      </c>
      <c r="N50" s="238"/>
      <c r="O50" s="222">
        <f t="shared" si="51"/>
        <v>153950000</v>
      </c>
      <c r="P50" s="53">
        <f t="shared" si="51"/>
        <v>57550000</v>
      </c>
      <c r="Q50" s="222">
        <f t="shared" si="51"/>
        <v>28285280</v>
      </c>
      <c r="R50" s="53">
        <f t="shared" si="51"/>
        <v>182235280</v>
      </c>
      <c r="S50" s="191">
        <f t="shared" si="51"/>
        <v>153952881</v>
      </c>
      <c r="T50" s="53">
        <f>S50-O50</f>
        <v>2881</v>
      </c>
      <c r="U50" s="377">
        <f t="shared" si="49"/>
        <v>-28282399</v>
      </c>
      <c r="V50" s="238"/>
      <c r="W50" s="222">
        <f t="shared" si="51"/>
        <v>153950000</v>
      </c>
      <c r="X50" s="53">
        <f t="shared" si="51"/>
        <v>54550000</v>
      </c>
      <c r="Y50" s="222">
        <f t="shared" si="51"/>
        <v>25285280</v>
      </c>
      <c r="Z50" s="53">
        <f t="shared" si="51"/>
        <v>179235280</v>
      </c>
      <c r="AA50" s="53">
        <f t="shared" si="51"/>
        <v>153952881</v>
      </c>
      <c r="AB50" s="53">
        <f>AA50-W50</f>
        <v>2881</v>
      </c>
      <c r="AC50" s="377">
        <f t="shared" si="50"/>
        <v>-25282399</v>
      </c>
    </row>
    <row r="51" spans="1:29" ht="15.75" customHeight="1" x14ac:dyDescent="0.25">
      <c r="A51" s="3" t="s">
        <v>20</v>
      </c>
      <c r="B51" s="4"/>
      <c r="C51" s="10" t="s">
        <v>90</v>
      </c>
      <c r="D51" s="299">
        <v>724582968</v>
      </c>
      <c r="E51" s="240"/>
      <c r="F51" s="136">
        <f>724582968-6037495</f>
        <v>718545473</v>
      </c>
      <c r="G51" s="187">
        <f>44673838+6037495</f>
        <v>50711333</v>
      </c>
      <c r="H51" s="187">
        <f>F51*0.08</f>
        <v>57483637.840000004</v>
      </c>
      <c r="I51" s="187">
        <f>H51+F51</f>
        <v>776029110.84000003</v>
      </c>
      <c r="J51" s="400">
        <v>718545473</v>
      </c>
      <c r="K51" s="440">
        <f>J51-F51</f>
        <v>0</v>
      </c>
      <c r="L51" s="384">
        <f t="shared" si="48"/>
        <v>-57483637.840000033</v>
      </c>
      <c r="M51" s="384">
        <f t="shared" si="9"/>
        <v>-6037495</v>
      </c>
      <c r="N51" s="240"/>
      <c r="O51" s="136">
        <f>724582968-6037495</f>
        <v>718545473</v>
      </c>
      <c r="P51" s="297">
        <f>60058974+6037495</f>
        <v>66096469</v>
      </c>
      <c r="Q51" s="136">
        <f>(I51*0.08)+H51</f>
        <v>119565966.70720001</v>
      </c>
      <c r="R51" s="187">
        <f>Q51+O51</f>
        <v>838111439.70720005</v>
      </c>
      <c r="S51" s="395">
        <v>688711065</v>
      </c>
      <c r="T51" s="515">
        <f t="shared" si="4"/>
        <v>-29834408</v>
      </c>
      <c r="U51" s="384">
        <f t="shared" si="49"/>
        <v>-149400374.70720005</v>
      </c>
      <c r="V51" s="240"/>
      <c r="W51" s="136">
        <f>724582968-6037495</f>
        <v>718545473</v>
      </c>
      <c r="X51" s="297">
        <f>75751813+6037495</f>
        <v>81789308</v>
      </c>
      <c r="Y51" s="136">
        <f>Q51</f>
        <v>119565966.70720001</v>
      </c>
      <c r="Z51" s="187">
        <f>Y51+W51</f>
        <v>838111439.70720005</v>
      </c>
      <c r="AA51" s="187">
        <v>688711065</v>
      </c>
      <c r="AB51" s="515">
        <f t="shared" si="5"/>
        <v>-29834408</v>
      </c>
      <c r="AC51" s="384">
        <f t="shared" si="50"/>
        <v>-149400374.70720005</v>
      </c>
    </row>
    <row r="52" spans="1:29" ht="15.75" customHeight="1" x14ac:dyDescent="0.25">
      <c r="A52" s="15" t="s">
        <v>20</v>
      </c>
      <c r="B52" s="16"/>
      <c r="C52" s="7" t="s">
        <v>129</v>
      </c>
      <c r="D52" s="300">
        <v>13962505</v>
      </c>
      <c r="E52" s="237"/>
      <c r="F52" s="136">
        <f>13962505+6037495</f>
        <v>20000000</v>
      </c>
      <c r="G52" s="187">
        <f>8037495-6037495</f>
        <v>2000000</v>
      </c>
      <c r="H52" s="187">
        <v>2000000</v>
      </c>
      <c r="I52" s="187">
        <f>H52+F52</f>
        <v>22000000</v>
      </c>
      <c r="J52" s="400">
        <v>20000000</v>
      </c>
      <c r="K52" s="440">
        <f t="shared" ref="K52:K53" si="52">J52-F52</f>
        <v>0</v>
      </c>
      <c r="L52" s="384">
        <f t="shared" si="48"/>
        <v>-2000000</v>
      </c>
      <c r="M52" s="489">
        <f t="shared" si="9"/>
        <v>6037495</v>
      </c>
      <c r="N52" s="237"/>
      <c r="O52" s="136">
        <f>13962505+6037495</f>
        <v>20000000</v>
      </c>
      <c r="P52" s="297">
        <f>8037495-6037495</f>
        <v>2000000</v>
      </c>
      <c r="Q52" s="136">
        <v>2000000</v>
      </c>
      <c r="R52" s="187">
        <f>Q52+O52</f>
        <v>22000000</v>
      </c>
      <c r="S52" s="395">
        <v>15704351</v>
      </c>
      <c r="T52" s="515">
        <f t="shared" si="4"/>
        <v>-4295649</v>
      </c>
      <c r="U52" s="384">
        <f t="shared" si="49"/>
        <v>-6295649</v>
      </c>
      <c r="V52" s="237"/>
      <c r="W52" s="136">
        <f>13962505+6037495</f>
        <v>20000000</v>
      </c>
      <c r="X52" s="297">
        <f>8037495-6037495</f>
        <v>2000000</v>
      </c>
      <c r="Y52" s="136">
        <v>2000000</v>
      </c>
      <c r="Z52" s="187">
        <f>Y52+W52</f>
        <v>22000000</v>
      </c>
      <c r="AA52" s="187">
        <v>15704351</v>
      </c>
      <c r="AB52" s="515">
        <f t="shared" si="5"/>
        <v>-4295649</v>
      </c>
      <c r="AC52" s="384">
        <f t="shared" si="50"/>
        <v>-6295649</v>
      </c>
    </row>
    <row r="53" spans="1:29" ht="15.75" customHeight="1" thickBot="1" x14ac:dyDescent="0.3">
      <c r="A53" s="2" t="s">
        <v>20</v>
      </c>
      <c r="B53" s="6"/>
      <c r="C53" s="7" t="s">
        <v>91</v>
      </c>
      <c r="D53" s="299">
        <v>500000</v>
      </c>
      <c r="E53" s="240"/>
      <c r="F53" s="136">
        <v>500000</v>
      </c>
      <c r="G53" s="187"/>
      <c r="H53" s="187"/>
      <c r="I53" s="187">
        <f>H53+F53</f>
        <v>500000</v>
      </c>
      <c r="J53" s="400">
        <v>500000</v>
      </c>
      <c r="K53" s="440">
        <f t="shared" si="52"/>
        <v>0</v>
      </c>
      <c r="L53" s="440">
        <f t="shared" si="48"/>
        <v>0</v>
      </c>
      <c r="M53" s="489">
        <f t="shared" si="9"/>
        <v>0</v>
      </c>
      <c r="N53" s="240"/>
      <c r="O53" s="136">
        <v>500000</v>
      </c>
      <c r="P53" s="187"/>
      <c r="Q53" s="136"/>
      <c r="R53" s="187">
        <f>Q53+O53</f>
        <v>500000</v>
      </c>
      <c r="S53" s="395">
        <v>500000</v>
      </c>
      <c r="T53" s="504">
        <f t="shared" si="4"/>
        <v>0</v>
      </c>
      <c r="U53" s="440">
        <f t="shared" si="49"/>
        <v>0</v>
      </c>
      <c r="V53" s="240"/>
      <c r="W53" s="136">
        <v>500000</v>
      </c>
      <c r="X53" s="187"/>
      <c r="Y53" s="136"/>
      <c r="Z53" s="187">
        <f>Y53+W53</f>
        <v>500000</v>
      </c>
      <c r="AA53" s="187">
        <v>500000</v>
      </c>
      <c r="AB53" s="504">
        <f t="shared" si="5"/>
        <v>0</v>
      </c>
      <c r="AC53" s="440">
        <f t="shared" si="50"/>
        <v>0</v>
      </c>
    </row>
    <row r="54" spans="1:29" ht="15.75" customHeight="1" thickBot="1" x14ac:dyDescent="0.3">
      <c r="A54" s="44" t="s">
        <v>20</v>
      </c>
      <c r="B54" s="45"/>
      <c r="C54" s="46" t="s">
        <v>0</v>
      </c>
      <c r="D54" s="190">
        <f t="shared" ref="D54:AA54" si="53">SUM(D51:D53)</f>
        <v>739045473</v>
      </c>
      <c r="E54" s="236"/>
      <c r="F54" s="221">
        <f t="shared" si="53"/>
        <v>739045473</v>
      </c>
      <c r="G54" s="52">
        <f t="shared" si="53"/>
        <v>52711333</v>
      </c>
      <c r="H54" s="52">
        <f>SUM(H51:H53)</f>
        <v>59483637.840000004</v>
      </c>
      <c r="I54" s="52">
        <f>SUM(I51:I53)</f>
        <v>798529110.84000003</v>
      </c>
      <c r="J54" s="52">
        <f>SUM(J51:J53)</f>
        <v>739045473</v>
      </c>
      <c r="K54" s="52">
        <f>J54-F54</f>
        <v>0</v>
      </c>
      <c r="L54" s="377">
        <f t="shared" si="48"/>
        <v>-59483637.840000033</v>
      </c>
      <c r="M54" s="52">
        <f>J54-D54</f>
        <v>0</v>
      </c>
      <c r="N54" s="236"/>
      <c r="O54" s="221">
        <f t="shared" si="53"/>
        <v>739045473</v>
      </c>
      <c r="P54" s="52">
        <f t="shared" si="53"/>
        <v>68096469</v>
      </c>
      <c r="Q54" s="221">
        <f t="shared" si="53"/>
        <v>121565966.70720001</v>
      </c>
      <c r="R54" s="52">
        <f t="shared" si="53"/>
        <v>860611439.70720005</v>
      </c>
      <c r="S54" s="190">
        <f t="shared" si="53"/>
        <v>704915416</v>
      </c>
      <c r="T54" s="377">
        <f>S54-O54</f>
        <v>-34130057</v>
      </c>
      <c r="U54" s="377">
        <f t="shared" si="49"/>
        <v>-155696023.70720005</v>
      </c>
      <c r="V54" s="236"/>
      <c r="W54" s="221">
        <f t="shared" si="53"/>
        <v>739045473</v>
      </c>
      <c r="X54" s="52">
        <f t="shared" si="53"/>
        <v>83789308</v>
      </c>
      <c r="Y54" s="221">
        <f t="shared" si="53"/>
        <v>121565966.70720001</v>
      </c>
      <c r="Z54" s="52">
        <f t="shared" si="53"/>
        <v>860611439.70720005</v>
      </c>
      <c r="AA54" s="52">
        <f t="shared" si="53"/>
        <v>704915416</v>
      </c>
      <c r="AB54" s="377">
        <f>AA54-W54</f>
        <v>-34130057</v>
      </c>
      <c r="AC54" s="377">
        <f t="shared" si="50"/>
        <v>-155696023.70720005</v>
      </c>
    </row>
    <row r="55" spans="1:29" s="139" customFormat="1" ht="15.75" customHeight="1" thickBot="1" x14ac:dyDescent="0.3">
      <c r="A55" s="29" t="s">
        <v>119</v>
      </c>
      <c r="B55" s="154"/>
      <c r="C55" s="10" t="s">
        <v>90</v>
      </c>
      <c r="D55" s="311">
        <v>13553409</v>
      </c>
      <c r="E55" s="230"/>
      <c r="F55" s="493">
        <v>13553409</v>
      </c>
      <c r="G55" s="489">
        <v>2710682</v>
      </c>
      <c r="H55" s="489">
        <f>F55*0.2</f>
        <v>2710681.8000000003</v>
      </c>
      <c r="I55" s="489">
        <f>H55+F55</f>
        <v>16264090.800000001</v>
      </c>
      <c r="J55" s="187">
        <v>13032124</v>
      </c>
      <c r="K55" s="384">
        <f>J55-F55</f>
        <v>-521285</v>
      </c>
      <c r="L55" s="384">
        <f t="shared" si="48"/>
        <v>-3231966.8000000007</v>
      </c>
      <c r="M55" s="384">
        <f t="shared" si="9"/>
        <v>-521285</v>
      </c>
      <c r="N55" s="230"/>
      <c r="O55" s="493">
        <v>13553409</v>
      </c>
      <c r="P55" s="489">
        <v>3523887</v>
      </c>
      <c r="Q55" s="514">
        <f>(I55*0.08)+H55</f>
        <v>4011809.0640000002</v>
      </c>
      <c r="R55" s="489">
        <f>Q55+O55</f>
        <v>17565218.063999999</v>
      </c>
      <c r="S55" s="395">
        <v>13032124</v>
      </c>
      <c r="T55" s="515">
        <f t="shared" si="4"/>
        <v>-521285</v>
      </c>
      <c r="U55" s="384">
        <f t="shared" si="49"/>
        <v>-4533094.0639999993</v>
      </c>
      <c r="V55" s="230"/>
      <c r="W55" s="493">
        <v>13553409</v>
      </c>
      <c r="X55" s="489">
        <v>4377752</v>
      </c>
      <c r="Y55" s="514">
        <f>Q55</f>
        <v>4011809.0640000002</v>
      </c>
      <c r="Z55" s="489">
        <f>Y55+W55</f>
        <v>17565218.063999999</v>
      </c>
      <c r="AA55" s="187">
        <v>13032124</v>
      </c>
      <c r="AB55" s="515">
        <f t="shared" si="5"/>
        <v>-521285</v>
      </c>
      <c r="AC55" s="384">
        <f t="shared" si="50"/>
        <v>-4533094.0639999993</v>
      </c>
    </row>
    <row r="56" spans="1:29" ht="15.75" customHeight="1" thickBot="1" x14ac:dyDescent="0.3">
      <c r="A56" s="44" t="s">
        <v>119</v>
      </c>
      <c r="B56" s="45"/>
      <c r="C56" s="46" t="s">
        <v>0</v>
      </c>
      <c r="D56" s="179">
        <f t="shared" ref="D56:Z56" si="54">SUM(D55:D55)</f>
        <v>13553409</v>
      </c>
      <c r="E56" s="231"/>
      <c r="F56" s="222">
        <f t="shared" si="54"/>
        <v>13553409</v>
      </c>
      <c r="G56" s="53">
        <f t="shared" si="54"/>
        <v>2710682</v>
      </c>
      <c r="H56" s="53">
        <f>SUM(H55:H55)</f>
        <v>2710681.8000000003</v>
      </c>
      <c r="I56" s="53">
        <f>SUM(I55:I55)</f>
        <v>16264090.800000001</v>
      </c>
      <c r="J56" s="53">
        <f>SUM(J55:J55)</f>
        <v>13032124</v>
      </c>
      <c r="K56" s="377">
        <f>J56-F56</f>
        <v>-521285</v>
      </c>
      <c r="L56" s="377">
        <f t="shared" si="48"/>
        <v>-3231966.8000000007</v>
      </c>
      <c r="M56" s="377">
        <f>J56-D56</f>
        <v>-521285</v>
      </c>
      <c r="N56" s="231"/>
      <c r="O56" s="222">
        <f t="shared" si="54"/>
        <v>13553409</v>
      </c>
      <c r="P56" s="53">
        <f t="shared" si="54"/>
        <v>3523887</v>
      </c>
      <c r="Q56" s="222">
        <f t="shared" si="54"/>
        <v>4011809.0640000002</v>
      </c>
      <c r="R56" s="53">
        <f t="shared" si="54"/>
        <v>17565218.063999999</v>
      </c>
      <c r="S56" s="191">
        <f t="shared" ref="S56" si="55">SUM(S55:S55)</f>
        <v>13032124</v>
      </c>
      <c r="T56" s="377">
        <f>S56-O56</f>
        <v>-521285</v>
      </c>
      <c r="U56" s="377">
        <f t="shared" si="49"/>
        <v>-4533094.0639999993</v>
      </c>
      <c r="V56" s="231"/>
      <c r="W56" s="222">
        <f t="shared" si="54"/>
        <v>13553409</v>
      </c>
      <c r="X56" s="53">
        <f t="shared" si="54"/>
        <v>4377752</v>
      </c>
      <c r="Y56" s="222">
        <f t="shared" si="54"/>
        <v>4011809.0640000002</v>
      </c>
      <c r="Z56" s="53">
        <f t="shared" si="54"/>
        <v>17565218.063999999</v>
      </c>
      <c r="AA56" s="53">
        <f t="shared" ref="AA56" si="56">SUM(AA55:AA55)</f>
        <v>13032124</v>
      </c>
      <c r="AB56" s="377">
        <f>AA56-W56</f>
        <v>-521285</v>
      </c>
      <c r="AC56" s="377">
        <f t="shared" si="50"/>
        <v>-4533094.0639999993</v>
      </c>
    </row>
    <row r="57" spans="1:29" ht="15.75" customHeight="1" x14ac:dyDescent="0.25">
      <c r="A57" s="150" t="s">
        <v>2</v>
      </c>
      <c r="B57" s="151"/>
      <c r="C57" s="10" t="s">
        <v>90</v>
      </c>
      <c r="D57" s="311">
        <v>5925722028</v>
      </c>
      <c r="E57" s="230"/>
      <c r="F57" s="493">
        <v>5925722028</v>
      </c>
      <c r="G57" s="489">
        <v>300000000</v>
      </c>
      <c r="H57" s="489">
        <f>F57*0.04</f>
        <v>237028881.12</v>
      </c>
      <c r="I57" s="489">
        <f>H57+F57</f>
        <v>6162750909.1199999</v>
      </c>
      <c r="J57" s="489">
        <v>5926451482</v>
      </c>
      <c r="K57" s="440">
        <f>J57-F57</f>
        <v>729454</v>
      </c>
      <c r="L57" s="384">
        <f t="shared" si="48"/>
        <v>-236299427.11999989</v>
      </c>
      <c r="M57" s="489">
        <f t="shared" si="9"/>
        <v>729454</v>
      </c>
      <c r="N57" s="230"/>
      <c r="O57" s="493">
        <v>5925722028</v>
      </c>
      <c r="P57" s="489">
        <v>600000000</v>
      </c>
      <c r="Q57" s="493">
        <f>(I57*0.04)+H57</f>
        <v>483538917.48479998</v>
      </c>
      <c r="R57" s="489">
        <f>Q57+O57</f>
        <v>6409260945.4848003</v>
      </c>
      <c r="S57" s="512">
        <v>5620451482</v>
      </c>
      <c r="T57" s="515">
        <f t="shared" si="4"/>
        <v>-305270546</v>
      </c>
      <c r="U57" s="384">
        <f t="shared" si="49"/>
        <v>-788809463.48480034</v>
      </c>
      <c r="V57" s="230"/>
      <c r="W57" s="493">
        <v>5925722028</v>
      </c>
      <c r="X57" s="489">
        <v>1000000000</v>
      </c>
      <c r="Y57" s="493">
        <f>Q57</f>
        <v>483538917.48479998</v>
      </c>
      <c r="Z57" s="489">
        <f>Y57+W57</f>
        <v>6409260945.4848003</v>
      </c>
      <c r="AA57" s="489">
        <v>5620451482</v>
      </c>
      <c r="AB57" s="515">
        <f t="shared" si="5"/>
        <v>-305270546</v>
      </c>
      <c r="AC57" s="384">
        <f t="shared" si="50"/>
        <v>-788809463.48480034</v>
      </c>
    </row>
    <row r="58" spans="1:29" ht="15.75" customHeight="1" x14ac:dyDescent="0.25">
      <c r="A58" s="93" t="s">
        <v>2</v>
      </c>
      <c r="B58" s="94"/>
      <c r="C58" s="162" t="s">
        <v>18</v>
      </c>
      <c r="D58" s="311">
        <v>1726448365</v>
      </c>
      <c r="E58" s="230"/>
      <c r="F58" s="501">
        <v>1976448365</v>
      </c>
      <c r="G58" s="502">
        <v>18086816</v>
      </c>
      <c r="H58" s="493">
        <f>30000000+20000000</f>
        <v>50000000</v>
      </c>
      <c r="I58" s="489">
        <f>H58+F58</f>
        <v>2026448365</v>
      </c>
      <c r="J58" s="489">
        <v>2115718911</v>
      </c>
      <c r="K58" s="440">
        <f t="shared" ref="K58:K61" si="57">J58-F58</f>
        <v>139270546</v>
      </c>
      <c r="L58" s="440">
        <f t="shared" si="48"/>
        <v>89270546</v>
      </c>
      <c r="M58" s="489">
        <f t="shared" si="9"/>
        <v>389270546</v>
      </c>
      <c r="N58" s="245"/>
      <c r="O58" s="501">
        <v>1926448365</v>
      </c>
      <c r="P58" s="440">
        <v>100897104</v>
      </c>
      <c r="Q58" s="518">
        <f>30000000+20000000</f>
        <v>50000000</v>
      </c>
      <c r="R58" s="489">
        <f>Q58+O58</f>
        <v>1976448365</v>
      </c>
      <c r="S58" s="512">
        <v>1851718911</v>
      </c>
      <c r="T58" s="515">
        <f t="shared" si="4"/>
        <v>-74729454</v>
      </c>
      <c r="U58" s="384">
        <f t="shared" si="49"/>
        <v>-124729454</v>
      </c>
      <c r="V58" s="239"/>
      <c r="W58" s="501">
        <v>1926448365</v>
      </c>
      <c r="X58" s="440">
        <v>51091804</v>
      </c>
      <c r="Y58" s="518">
        <f>30000000+20000000</f>
        <v>50000000</v>
      </c>
      <c r="Z58" s="489">
        <f>Y58+W58</f>
        <v>1976448365</v>
      </c>
      <c r="AA58" s="489">
        <v>1851718911</v>
      </c>
      <c r="AB58" s="515">
        <f t="shared" si="5"/>
        <v>-74729454</v>
      </c>
      <c r="AC58" s="384">
        <f t="shared" si="50"/>
        <v>-124729454</v>
      </c>
    </row>
    <row r="59" spans="1:29" ht="15.75" customHeight="1" x14ac:dyDescent="0.25">
      <c r="A59" s="22" t="s">
        <v>2</v>
      </c>
      <c r="B59" s="178"/>
      <c r="C59" s="162" t="s">
        <v>163</v>
      </c>
      <c r="D59" s="311">
        <v>0</v>
      </c>
      <c r="E59" s="230"/>
      <c r="F59" s="501">
        <v>50000000</v>
      </c>
      <c r="G59" s="440">
        <v>50000000</v>
      </c>
      <c r="H59" s="489">
        <f>30000000+20000000</f>
        <v>50000000</v>
      </c>
      <c r="I59" s="489">
        <f>H59+F59</f>
        <v>100000000</v>
      </c>
      <c r="J59" s="489">
        <v>100000000</v>
      </c>
      <c r="K59" s="440">
        <f t="shared" si="57"/>
        <v>50000000</v>
      </c>
      <c r="L59" s="440">
        <f t="shared" si="48"/>
        <v>0</v>
      </c>
      <c r="M59" s="489">
        <f t="shared" si="9"/>
        <v>100000000</v>
      </c>
      <c r="N59" s="239"/>
      <c r="O59" s="501">
        <v>100000000</v>
      </c>
      <c r="P59" s="440">
        <v>100000000</v>
      </c>
      <c r="Q59" s="518">
        <f>50000000+20000000</f>
        <v>70000000</v>
      </c>
      <c r="R59" s="489">
        <f>Q59+O59</f>
        <v>170000000</v>
      </c>
      <c r="S59" s="512">
        <v>170000000</v>
      </c>
      <c r="T59" s="504">
        <f t="shared" si="4"/>
        <v>70000000</v>
      </c>
      <c r="U59" s="440">
        <f t="shared" si="49"/>
        <v>0</v>
      </c>
      <c r="V59" s="239"/>
      <c r="W59" s="501">
        <v>100000000</v>
      </c>
      <c r="X59" s="440">
        <v>100000000</v>
      </c>
      <c r="Y59" s="518">
        <f>50000000+20000000</f>
        <v>70000000</v>
      </c>
      <c r="Z59" s="489">
        <f>Y59+W59</f>
        <v>170000000</v>
      </c>
      <c r="AA59" s="489">
        <v>170000000</v>
      </c>
      <c r="AB59" s="504">
        <f t="shared" si="5"/>
        <v>70000000</v>
      </c>
      <c r="AC59" s="440">
        <f t="shared" si="50"/>
        <v>0</v>
      </c>
    </row>
    <row r="60" spans="1:29" ht="15.75" customHeight="1" x14ac:dyDescent="0.25">
      <c r="A60" s="111" t="s">
        <v>2</v>
      </c>
      <c r="B60" s="94"/>
      <c r="C60" s="162" t="s">
        <v>73</v>
      </c>
      <c r="D60" s="313">
        <v>300000000</v>
      </c>
      <c r="E60" s="235"/>
      <c r="F60" s="503">
        <v>0</v>
      </c>
      <c r="G60" s="504"/>
      <c r="H60" s="504"/>
      <c r="I60" s="489">
        <f>H60+F60</f>
        <v>0</v>
      </c>
      <c r="J60" s="489">
        <v>0</v>
      </c>
      <c r="K60" s="440">
        <f t="shared" si="57"/>
        <v>0</v>
      </c>
      <c r="L60" s="440">
        <v>0</v>
      </c>
      <c r="M60" s="384">
        <f t="shared" si="9"/>
        <v>-300000000</v>
      </c>
      <c r="N60" s="246"/>
      <c r="O60" s="503">
        <v>0</v>
      </c>
      <c r="P60" s="504"/>
      <c r="Q60" s="503"/>
      <c r="R60" s="489">
        <f>Q60+O60</f>
        <v>0</v>
      </c>
      <c r="S60" s="512">
        <v>0</v>
      </c>
      <c r="T60" s="504">
        <f t="shared" si="4"/>
        <v>0</v>
      </c>
      <c r="U60" s="440">
        <v>0</v>
      </c>
      <c r="V60" s="246"/>
      <c r="W60" s="503">
        <v>0</v>
      </c>
      <c r="X60" s="504"/>
      <c r="Y60" s="503"/>
      <c r="Z60" s="489">
        <f>Y60+W60</f>
        <v>0</v>
      </c>
      <c r="AA60" s="489">
        <v>0</v>
      </c>
      <c r="AB60" s="504">
        <f t="shared" si="5"/>
        <v>0</v>
      </c>
      <c r="AC60" s="440">
        <v>0</v>
      </c>
    </row>
    <row r="61" spans="1:29" s="139" customFormat="1" ht="15.75" customHeight="1" thickBot="1" x14ac:dyDescent="0.3">
      <c r="A61" s="147" t="s">
        <v>2</v>
      </c>
      <c r="B61" s="342"/>
      <c r="C61" s="342" t="s">
        <v>156</v>
      </c>
      <c r="D61" s="312">
        <v>0</v>
      </c>
      <c r="E61" s="233"/>
      <c r="F61" s="498">
        <v>0</v>
      </c>
      <c r="G61" s="499">
        <v>200000000</v>
      </c>
      <c r="H61" s="499">
        <v>0</v>
      </c>
      <c r="I61" s="440">
        <v>0</v>
      </c>
      <c r="J61" s="440">
        <v>0</v>
      </c>
      <c r="K61" s="440">
        <f t="shared" si="57"/>
        <v>0</v>
      </c>
      <c r="L61" s="440">
        <v>0</v>
      </c>
      <c r="M61" s="489">
        <f t="shared" si="9"/>
        <v>0</v>
      </c>
      <c r="N61" s="233"/>
      <c r="O61" s="498"/>
      <c r="P61" s="499">
        <v>200000000</v>
      </c>
      <c r="Q61" s="498">
        <v>0</v>
      </c>
      <c r="R61" s="440">
        <f>Q61+O61</f>
        <v>0</v>
      </c>
      <c r="S61" s="433">
        <v>0</v>
      </c>
      <c r="T61" s="504">
        <f t="shared" si="4"/>
        <v>0</v>
      </c>
      <c r="U61" s="440">
        <v>0</v>
      </c>
      <c r="V61" s="233"/>
      <c r="W61" s="498"/>
      <c r="X61" s="499">
        <v>200000000</v>
      </c>
      <c r="Y61" s="498">
        <v>0</v>
      </c>
      <c r="Z61" s="440">
        <f>Y61+W61</f>
        <v>0</v>
      </c>
      <c r="AA61" s="440">
        <v>0</v>
      </c>
      <c r="AB61" s="504">
        <f t="shared" si="5"/>
        <v>0</v>
      </c>
      <c r="AC61" s="440">
        <v>0</v>
      </c>
    </row>
    <row r="62" spans="1:29" ht="15.75" customHeight="1" thickBot="1" x14ac:dyDescent="0.3">
      <c r="A62" s="44" t="s">
        <v>2</v>
      </c>
      <c r="B62" s="45"/>
      <c r="C62" s="46" t="s">
        <v>0</v>
      </c>
      <c r="D62" s="190">
        <f>SUM(D57:D61)</f>
        <v>7952170393</v>
      </c>
      <c r="E62" s="236"/>
      <c r="F62" s="221">
        <f>SUM(F57:F61)</f>
        <v>7952170393</v>
      </c>
      <c r="G62" s="52">
        <f>SUM(G57:G61)</f>
        <v>568086816</v>
      </c>
      <c r="H62" s="52">
        <f>SUM(H57:H61)</f>
        <v>337028881.12</v>
      </c>
      <c r="I62" s="52">
        <f>SUM(I57:I61)</f>
        <v>8289199274.1199999</v>
      </c>
      <c r="J62" s="52">
        <f>SUM(J57:J61)</f>
        <v>8142170393</v>
      </c>
      <c r="K62" s="52">
        <f>J62-F62</f>
        <v>190000000</v>
      </c>
      <c r="L62" s="377">
        <f>J62-I62</f>
        <v>-147028881.11999989</v>
      </c>
      <c r="M62" s="52">
        <f>J62-D62</f>
        <v>190000000</v>
      </c>
      <c r="N62" s="236"/>
      <c r="O62" s="221">
        <f>SUM(O57:O61)</f>
        <v>7952170393</v>
      </c>
      <c r="P62" s="52">
        <f>SUM(P57:P61)</f>
        <v>1000897104</v>
      </c>
      <c r="Q62" s="221">
        <f>SUM(Q57:Q61)</f>
        <v>603538917.48479998</v>
      </c>
      <c r="R62" s="52">
        <f>SUM(R57:R61)</f>
        <v>8555709310.4848003</v>
      </c>
      <c r="S62" s="190">
        <f>SUM(S57:S61)</f>
        <v>7642170393</v>
      </c>
      <c r="T62" s="377">
        <f>S62-O62</f>
        <v>-310000000</v>
      </c>
      <c r="U62" s="377">
        <f>S62-R62</f>
        <v>-913538917.48480034</v>
      </c>
      <c r="V62" s="236"/>
      <c r="W62" s="221">
        <f>SUM(W57:W61)</f>
        <v>7952170393</v>
      </c>
      <c r="X62" s="52">
        <f>SUM(X57:X61)</f>
        <v>1351091804</v>
      </c>
      <c r="Y62" s="221">
        <f>SUM(Y57:Y61)</f>
        <v>603538917.48479998</v>
      </c>
      <c r="Z62" s="52">
        <f>SUM(Z57:Z61)</f>
        <v>8555709310.4848003</v>
      </c>
      <c r="AA62" s="52">
        <f>SUM(AA57:AA61)</f>
        <v>7642170393</v>
      </c>
      <c r="AB62" s="377">
        <f>AA62-W62</f>
        <v>-310000000</v>
      </c>
      <c r="AC62" s="377">
        <f>AA62-Z62</f>
        <v>-913538917.48480034</v>
      </c>
    </row>
    <row r="63" spans="1:29" ht="15.75" customHeight="1" thickBot="1" x14ac:dyDescent="0.3">
      <c r="A63" s="3" t="s">
        <v>13</v>
      </c>
      <c r="B63" s="4"/>
      <c r="C63" s="5" t="s">
        <v>25</v>
      </c>
      <c r="D63" s="311">
        <v>203058020</v>
      </c>
      <c r="E63" s="230"/>
      <c r="F63" s="493">
        <v>203058020</v>
      </c>
      <c r="G63" s="489">
        <v>0</v>
      </c>
      <c r="H63" s="489"/>
      <c r="I63" s="489">
        <f>H63+F63</f>
        <v>203058020</v>
      </c>
      <c r="J63" s="489">
        <v>203058020</v>
      </c>
      <c r="K63" s="440">
        <f>J63-F63</f>
        <v>0</v>
      </c>
      <c r="L63" s="440">
        <f>J63-I63</f>
        <v>0</v>
      </c>
      <c r="M63" s="440">
        <f t="shared" si="9"/>
        <v>0</v>
      </c>
      <c r="N63" s="230"/>
      <c r="O63" s="493">
        <v>203058020</v>
      </c>
      <c r="P63" s="489">
        <v>15000000</v>
      </c>
      <c r="Q63" s="493">
        <v>10000000</v>
      </c>
      <c r="R63" s="489">
        <f>Q63+O63</f>
        <v>213058020</v>
      </c>
      <c r="S63" s="512">
        <v>213058020</v>
      </c>
      <c r="T63" s="504">
        <f t="shared" si="4"/>
        <v>10000000</v>
      </c>
      <c r="U63" s="440">
        <f>S63-R63</f>
        <v>0</v>
      </c>
      <c r="V63" s="230"/>
      <c r="W63" s="493">
        <v>203058020</v>
      </c>
      <c r="X63" s="489">
        <v>35000000</v>
      </c>
      <c r="Y63" s="493">
        <v>20000000</v>
      </c>
      <c r="Z63" s="489">
        <f>Y63+W63</f>
        <v>223058020</v>
      </c>
      <c r="AA63" s="489">
        <v>223058020</v>
      </c>
      <c r="AB63" s="504">
        <f t="shared" si="5"/>
        <v>20000000</v>
      </c>
      <c r="AC63" s="440">
        <f>AA63-Z63</f>
        <v>0</v>
      </c>
    </row>
    <row r="64" spans="1:29" ht="15.75" customHeight="1" thickBot="1" x14ac:dyDescent="0.3">
      <c r="A64" s="54" t="s">
        <v>13</v>
      </c>
      <c r="B64" s="55"/>
      <c r="C64" s="56" t="s">
        <v>0</v>
      </c>
      <c r="D64" s="192">
        <f t="shared" ref="D64:Z64" si="58">SUM(D63:D63)</f>
        <v>203058020</v>
      </c>
      <c r="E64" s="241"/>
      <c r="F64" s="505">
        <f t="shared" si="58"/>
        <v>203058020</v>
      </c>
      <c r="G64" s="506">
        <f t="shared" si="58"/>
        <v>0</v>
      </c>
      <c r="H64" s="506">
        <f>SUM(H63:H63)</f>
        <v>0</v>
      </c>
      <c r="I64" s="506">
        <f>SUM(I63:I63)</f>
        <v>203058020</v>
      </c>
      <c r="J64" s="53">
        <f>SUM(J63:J63)</f>
        <v>203058020</v>
      </c>
      <c r="K64" s="442">
        <f>J64-F64</f>
        <v>0</v>
      </c>
      <c r="L64" s="442">
        <f>J64-I64</f>
        <v>0</v>
      </c>
      <c r="M64" s="442">
        <f>J64-D64</f>
        <v>0</v>
      </c>
      <c r="N64" s="241"/>
      <c r="O64" s="505">
        <f t="shared" si="58"/>
        <v>203058020</v>
      </c>
      <c r="P64" s="506">
        <f t="shared" si="58"/>
        <v>15000000</v>
      </c>
      <c r="Q64" s="505">
        <f t="shared" si="58"/>
        <v>10000000</v>
      </c>
      <c r="R64" s="506">
        <f t="shared" si="58"/>
        <v>213058020</v>
      </c>
      <c r="S64" s="520">
        <f t="shared" ref="S64" si="59">SUM(S63:S63)</f>
        <v>213058020</v>
      </c>
      <c r="T64" s="506">
        <f>S64-O64</f>
        <v>10000000</v>
      </c>
      <c r="U64" s="442">
        <f>S64-R64</f>
        <v>0</v>
      </c>
      <c r="V64" s="241"/>
      <c r="W64" s="505">
        <f t="shared" si="58"/>
        <v>203058020</v>
      </c>
      <c r="X64" s="506">
        <f t="shared" si="58"/>
        <v>35000000</v>
      </c>
      <c r="Y64" s="505">
        <f t="shared" si="58"/>
        <v>20000000</v>
      </c>
      <c r="Z64" s="506">
        <f t="shared" si="58"/>
        <v>223058020</v>
      </c>
      <c r="AA64" s="506">
        <f t="shared" ref="AA64" si="60">SUM(AA63:AA63)</f>
        <v>223058020</v>
      </c>
      <c r="AB64" s="506">
        <f>AA64-W64</f>
        <v>20000000</v>
      </c>
      <c r="AC64" s="442">
        <f>AA64-Z64</f>
        <v>0</v>
      </c>
    </row>
    <row r="65" spans="1:29" ht="15.75" customHeight="1" thickBot="1" x14ac:dyDescent="0.3">
      <c r="A65" s="19" t="s">
        <v>14</v>
      </c>
      <c r="B65" s="20"/>
      <c r="C65" s="21" t="s">
        <v>93</v>
      </c>
      <c r="D65" s="224">
        <f>D9+D11+D17+D20+D24+D27+D29+D33+D35+D39+D47+D50+D54+D56+D62+D64</f>
        <v>25180337863</v>
      </c>
      <c r="E65" s="231"/>
      <c r="F65" s="507">
        <f>F9+F11+F17+F20+F24+F27+F29+F33+F35+F39+F47+F50+F54+F56+F62+F64</f>
        <v>25161146015</v>
      </c>
      <c r="G65" s="508">
        <f>G9+G11+G17+G20+G24+G27+G29+G33+G35+G39+G47+G50+G54+G56+G62+G64</f>
        <v>2173987424</v>
      </c>
      <c r="H65" s="509">
        <f>H9+H11+H17+H20+H24+H27+H29+H33+H35+H39+H47+H50+H54+H56+H62+H64</f>
        <v>1719710985.4399996</v>
      </c>
      <c r="I65" s="510">
        <f>I9+I11+I17+I20+I24+I27+I29+I33+I35+I39+I47+I50+I54+I56+I62+I64</f>
        <v>26880857000.439999</v>
      </c>
      <c r="J65" s="426">
        <f>J9+J11+J17+J20+J24+J27+J29+J33+J35+J39+J47+J50+J54+J56+J62+J64</f>
        <v>25545983177</v>
      </c>
      <c r="K65" s="466">
        <f>J65-F65</f>
        <v>384837162</v>
      </c>
      <c r="L65" s="470">
        <f>J65-I65</f>
        <v>-1334873823.4399986</v>
      </c>
      <c r="M65" s="468">
        <f>J65-D65</f>
        <v>365645314</v>
      </c>
      <c r="N65" s="231"/>
      <c r="O65" s="507">
        <f>O9+O11+O17+O20+O24+O27+O29+O33+O35+O39+O47+O50+O54+O56+O62+O64</f>
        <v>25161146014.919998</v>
      </c>
      <c r="P65" s="508">
        <f>P9+P11+P17+P20+P24+P27+P29+P33+P35+P39+P47+P50+P54+P56+P62+P64</f>
        <v>2809170379</v>
      </c>
      <c r="Q65" s="521">
        <f>Q9+Q11+Q17+Q20+Q24+Q27+Q29+Q33+Q35+Q39+Q47+Q50+Q54+Q56+Q62+Q64</f>
        <v>2241363851.5680003</v>
      </c>
      <c r="R65" s="510">
        <f>R9+R11+R17+R20+R24+R27+R29+R33+R35+R39+R47+R50+R54+R56+R62+R64</f>
        <v>27402509866.487999</v>
      </c>
      <c r="S65" s="444">
        <f>S9+S11+S17+S20+S24+S27+S29+S33+S35+S39+S47+S50+S54+S56+S62+S64</f>
        <v>23837278633</v>
      </c>
      <c r="T65" s="522">
        <f>S65-O65</f>
        <v>-1323867381.9199982</v>
      </c>
      <c r="U65" s="470">
        <f>S65-R65</f>
        <v>-3565231233.487999</v>
      </c>
      <c r="V65" s="231"/>
      <c r="W65" s="507">
        <f>W9+W11+W17+W20+W24+W27+W29+W33+W35+W39+W47+W50+W54+W56+W62+W64</f>
        <v>25161146014.919998</v>
      </c>
      <c r="X65" s="508">
        <f>X9+X11+X17+X20+X24+X27+X29+X33+X35+X39+X47+X50+X54+X56+X62+X64</f>
        <v>3105403159</v>
      </c>
      <c r="Y65" s="521">
        <f>Y9+Y11+Y17+Y20+Y24+Y27+Y29+Y33+Y35+Y39+Y47+Y50+Y54+Y56+Y62+Y64</f>
        <v>1608139851.5680001</v>
      </c>
      <c r="Z65" s="510">
        <f>Z9+Z11+Z17+Z20+Z24+Z27+Z29+Z33+Z35+Z39+Z47+Z50+Z54+Z56+Z62+Z64</f>
        <v>26769285866.487999</v>
      </c>
      <c r="AA65" s="426">
        <f>AA9+AA11+AA17+AA20+AA24+AA27+AA29+AA33+AA35+AA39+AA47+AA50+AA54+AA56+AA62+AA64</f>
        <v>23853278633</v>
      </c>
      <c r="AB65" s="522">
        <f>AA65-W65</f>
        <v>-1307867381.9199982</v>
      </c>
      <c r="AC65" s="470">
        <f>AA65-Z65</f>
        <v>-2916007233.487999</v>
      </c>
    </row>
    <row r="66" spans="1:29" ht="9" customHeight="1" thickBot="1" x14ac:dyDescent="0.3">
      <c r="A66" s="39"/>
      <c r="B66" s="39"/>
      <c r="C66" s="40"/>
      <c r="D66" s="82"/>
      <c r="E66" s="242"/>
      <c r="F66" s="82"/>
      <c r="G66" s="82"/>
      <c r="H66" s="82"/>
      <c r="I66" s="82"/>
      <c r="J66" s="82"/>
      <c r="K66" s="82"/>
      <c r="L66" s="82"/>
      <c r="M66" s="82"/>
      <c r="N66" s="242"/>
      <c r="O66" s="82"/>
      <c r="P66" s="82"/>
      <c r="Q66" s="82"/>
      <c r="R66" s="82"/>
      <c r="S66" s="82"/>
      <c r="T66" s="82"/>
      <c r="U66" s="82"/>
      <c r="V66" s="242"/>
      <c r="W66" s="82"/>
      <c r="X66" s="82"/>
      <c r="Y66" s="82"/>
      <c r="Z66" s="82"/>
      <c r="AA66" s="82"/>
      <c r="AB66" s="82"/>
      <c r="AC66" s="82"/>
    </row>
    <row r="67" spans="1:29" s="139" customFormat="1" ht="21" customHeight="1" x14ac:dyDescent="0.25">
      <c r="H67" s="186"/>
      <c r="I67" s="186"/>
      <c r="J67" s="186"/>
      <c r="K67" s="186"/>
      <c r="L67" s="186"/>
      <c r="M67" s="186"/>
    </row>
    <row r="68" spans="1:29" hidden="1" x14ac:dyDescent="0.25">
      <c r="A68" s="298" t="s">
        <v>160</v>
      </c>
      <c r="D68" s="1"/>
      <c r="E68" s="1"/>
      <c r="F68" s="1"/>
      <c r="G68" s="216"/>
      <c r="H68" s="216"/>
      <c r="I68" s="216"/>
      <c r="J68" s="216"/>
      <c r="K68" s="216"/>
      <c r="L68" s="216"/>
      <c r="M68" s="216"/>
      <c r="N68" s="216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idden="1" x14ac:dyDescent="0.25">
      <c r="A69" s="295" t="s">
        <v>158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idden="1" x14ac:dyDescent="0.25">
      <c r="A70" s="1" t="s">
        <v>159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idden="1" x14ac:dyDescent="0.25">
      <c r="A71" s="295" t="s">
        <v>161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idden="1" x14ac:dyDescent="0.25">
      <c r="A72" s="315" t="s">
        <v>162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15.75" hidden="1" customHeight="1" x14ac:dyDescent="0.25">
      <c r="A73" s="343" t="s">
        <v>177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idden="1" x14ac:dyDescent="0.25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15.75" hidden="1" x14ac:dyDescent="0.25">
      <c r="A75" s="350" t="s">
        <v>196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3.6" hidden="1" customHeight="1" x14ac:dyDescent="0.25">
      <c r="A76" s="35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idden="1" x14ac:dyDescent="0.25">
      <c r="A77" s="357" t="s">
        <v>188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15.75" hidden="1" x14ac:dyDescent="0.25">
      <c r="A78" s="356" t="s">
        <v>189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idden="1" x14ac:dyDescent="0.25">
      <c r="A79" s="352" t="s">
        <v>190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idden="1" x14ac:dyDescent="0.25">
      <c r="A80" s="352" t="s">
        <v>191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idden="1" x14ac:dyDescent="0.25">
      <c r="A81" s="352" t="s">
        <v>192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idden="1" x14ac:dyDescent="0.25">
      <c r="A82" s="352" t="s">
        <v>181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5.0999999999999996" hidden="1" customHeight="1" x14ac:dyDescent="0.25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idden="1" x14ac:dyDescent="0.25">
      <c r="A84" s="353" t="s">
        <v>182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s="455" customFormat="1" x14ac:dyDescent="0.25">
      <c r="A85" s="456" t="s">
        <v>228</v>
      </c>
    </row>
    <row r="86" spans="1:29" ht="6.75" customHeight="1" x14ac:dyDescent="0.25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x14ac:dyDescent="0.25">
      <c r="A87" s="448" t="s">
        <v>225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x14ac:dyDescent="0.25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x14ac:dyDescent="0.25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x14ac:dyDescent="0.25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x14ac:dyDescent="0.25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x14ac:dyDescent="0.25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x14ac:dyDescent="0.25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x14ac:dyDescent="0.25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x14ac:dyDescent="0.25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x14ac:dyDescent="0.25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</sheetData>
  <mergeCells count="4">
    <mergeCell ref="A9:B9"/>
    <mergeCell ref="F4:M4"/>
    <mergeCell ref="O4:U4"/>
    <mergeCell ref="W4:AC4"/>
  </mergeCells>
  <phoneticPr fontId="5" type="noConversion"/>
  <pageMargins left="0.31496062992125984" right="0.11811023622047245" top="0.78740157480314965" bottom="0.39370078740157483" header="0.11811023622047245" footer="0.11811023622047245"/>
  <pageSetup paperSize="8" scale="62" orientation="landscape" r:id="rId1"/>
  <rowBreaks count="1" manualBreakCount="1">
    <brk id="3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DD4A1-A710-40CB-BF79-DC567173AD3C}">
  <sheetPr>
    <pageSetUpPr fitToPage="1"/>
  </sheetPr>
  <dimension ref="A1:AC112"/>
  <sheetViews>
    <sheetView zoomScaleNormal="100" workbookViewId="0">
      <pane xSplit="3" ySplit="6" topLeftCell="R72" activePane="bottomRight" state="frozen"/>
      <selection pane="topRight" activeCell="D1" sqref="D1"/>
      <selection pane="bottomLeft" activeCell="A7" sqref="A7"/>
      <selection pane="bottomRight" sqref="A1:AC112"/>
    </sheetView>
  </sheetViews>
  <sheetFormatPr defaultRowHeight="15" x14ac:dyDescent="0.25"/>
  <cols>
    <col min="1" max="1" width="7.7109375" customWidth="1"/>
    <col min="2" max="2" width="5.7109375" customWidth="1"/>
    <col min="3" max="3" width="67" customWidth="1"/>
    <col min="4" max="4" width="15.42578125" style="102" bestFit="1" customWidth="1"/>
    <col min="5" max="5" width="0.5703125" style="102" customWidth="1"/>
    <col min="6" max="6" width="15.42578125" style="102" bestFit="1" customWidth="1"/>
    <col min="7" max="8" width="14.7109375" style="102" hidden="1" customWidth="1"/>
    <col min="9" max="13" width="14.7109375" style="102" customWidth="1"/>
    <col min="14" max="14" width="0.5703125" style="102" customWidth="1"/>
    <col min="15" max="15" width="15.42578125" style="102" bestFit="1" customWidth="1"/>
    <col min="16" max="17" width="14.7109375" style="102" hidden="1" customWidth="1"/>
    <col min="18" max="21" width="14.7109375" style="102" customWidth="1"/>
    <col min="22" max="22" width="0.5703125" style="102" customWidth="1"/>
    <col min="23" max="23" width="14.7109375" style="102" customWidth="1"/>
    <col min="24" max="25" width="14.7109375" style="102" hidden="1" customWidth="1"/>
    <col min="26" max="29" width="14.7109375" style="102" customWidth="1"/>
  </cols>
  <sheetData>
    <row r="1" spans="1:29" ht="18.75" x14ac:dyDescent="0.3">
      <c r="A1" s="121" t="s">
        <v>170</v>
      </c>
      <c r="B1" s="41" t="s">
        <v>175</v>
      </c>
    </row>
    <row r="2" spans="1:29" ht="18.75" x14ac:dyDescent="0.3">
      <c r="A2" s="121"/>
      <c r="B2" s="318" t="s">
        <v>171</v>
      </c>
    </row>
    <row r="3" spans="1:29" ht="2.1" customHeight="1" thickBot="1" x14ac:dyDescent="0.35">
      <c r="A3" s="121"/>
      <c r="B3" s="41"/>
    </row>
    <row r="4" spans="1:29" ht="21.95" customHeight="1" thickBot="1" x14ac:dyDescent="0.3">
      <c r="A4" s="14"/>
      <c r="C4" s="83"/>
      <c r="D4" s="92"/>
      <c r="E4" s="92"/>
      <c r="F4" s="629">
        <v>2026</v>
      </c>
      <c r="G4" s="630"/>
      <c r="H4" s="630"/>
      <c r="I4" s="630"/>
      <c r="J4" s="630"/>
      <c r="K4" s="630"/>
      <c r="L4" s="630"/>
      <c r="M4" s="631"/>
      <c r="N4" s="92"/>
      <c r="O4" s="629">
        <v>2027</v>
      </c>
      <c r="P4" s="630"/>
      <c r="Q4" s="630"/>
      <c r="R4" s="630"/>
      <c r="S4" s="630"/>
      <c r="T4" s="630"/>
      <c r="U4" s="631"/>
      <c r="V4" s="92"/>
      <c r="W4" s="629">
        <v>2028</v>
      </c>
      <c r="X4" s="630"/>
      <c r="Y4" s="630"/>
      <c r="Z4" s="630"/>
      <c r="AA4" s="630"/>
      <c r="AB4" s="630"/>
      <c r="AC4" s="631"/>
    </row>
    <row r="5" spans="1:29" ht="5.25" customHeight="1" thickBot="1" x14ac:dyDescent="0.35">
      <c r="A5" s="14"/>
      <c r="B5" s="41"/>
      <c r="C5" s="83"/>
      <c r="D5" s="92"/>
      <c r="E5" s="317"/>
      <c r="F5" s="316"/>
      <c r="G5" s="316"/>
      <c r="H5" s="316"/>
      <c r="I5" s="316"/>
      <c r="J5" s="316"/>
      <c r="K5" s="316"/>
      <c r="L5" s="316"/>
      <c r="M5" s="316"/>
      <c r="N5" s="317"/>
      <c r="O5" s="316"/>
      <c r="P5" s="316"/>
      <c r="Q5" s="316"/>
      <c r="R5" s="316"/>
      <c r="S5" s="316"/>
      <c r="T5" s="316"/>
      <c r="U5" s="316"/>
      <c r="V5" s="317"/>
      <c r="W5" s="316"/>
      <c r="X5" s="316"/>
      <c r="Y5" s="316"/>
      <c r="Z5" s="316"/>
      <c r="AA5" s="316"/>
      <c r="AB5" s="316"/>
      <c r="AC5" s="316"/>
    </row>
    <row r="6" spans="1:29" ht="78.75" customHeight="1" thickBot="1" x14ac:dyDescent="0.25">
      <c r="A6" s="109" t="s">
        <v>26</v>
      </c>
      <c r="B6" s="110" t="s">
        <v>1</v>
      </c>
      <c r="C6" s="138" t="s">
        <v>81</v>
      </c>
      <c r="D6" s="225" t="s">
        <v>135</v>
      </c>
      <c r="E6" s="228"/>
      <c r="F6" s="226" t="s">
        <v>203</v>
      </c>
      <c r="G6" s="320" t="s">
        <v>172</v>
      </c>
      <c r="H6" s="301" t="s">
        <v>211</v>
      </c>
      <c r="I6" s="302" t="s">
        <v>218</v>
      </c>
      <c r="J6" s="360" t="s">
        <v>219</v>
      </c>
      <c r="K6" s="459" t="s">
        <v>198</v>
      </c>
      <c r="L6" s="302" t="s">
        <v>199</v>
      </c>
      <c r="M6" s="445" t="s">
        <v>224</v>
      </c>
      <c r="N6" s="228"/>
      <c r="O6" s="226" t="s">
        <v>204</v>
      </c>
      <c r="P6" s="320" t="s">
        <v>172</v>
      </c>
      <c r="Q6" s="301" t="s">
        <v>157</v>
      </c>
      <c r="R6" s="302" t="s">
        <v>218</v>
      </c>
      <c r="S6" s="360" t="s">
        <v>220</v>
      </c>
      <c r="T6" s="459" t="s">
        <v>198</v>
      </c>
      <c r="U6" s="302" t="s">
        <v>199</v>
      </c>
      <c r="V6" s="228"/>
      <c r="W6" s="226" t="s">
        <v>205</v>
      </c>
      <c r="X6" s="320" t="s">
        <v>172</v>
      </c>
      <c r="Y6" s="301" t="s">
        <v>157</v>
      </c>
      <c r="Z6" s="302" t="s">
        <v>218</v>
      </c>
      <c r="AA6" s="360" t="s">
        <v>220</v>
      </c>
      <c r="AB6" s="460" t="s">
        <v>223</v>
      </c>
      <c r="AC6" s="305" t="s">
        <v>199</v>
      </c>
    </row>
    <row r="7" spans="1:29" ht="15.75" customHeight="1" thickBot="1" x14ac:dyDescent="0.25">
      <c r="A7" s="74" t="s">
        <v>12</v>
      </c>
      <c r="B7" s="66"/>
      <c r="C7" s="116"/>
      <c r="D7" s="321">
        <v>0</v>
      </c>
      <c r="E7" s="254"/>
      <c r="F7" s="523">
        <v>0</v>
      </c>
      <c r="G7" s="524"/>
      <c r="H7" s="524"/>
      <c r="I7" s="525">
        <f>H7+F7</f>
        <v>0</v>
      </c>
      <c r="J7" s="525">
        <v>0</v>
      </c>
      <c r="K7" s="385">
        <v>0</v>
      </c>
      <c r="L7" s="385">
        <v>0</v>
      </c>
      <c r="M7" s="525">
        <v>0</v>
      </c>
      <c r="N7" s="254"/>
      <c r="O7" s="523">
        <v>0</v>
      </c>
      <c r="P7" s="524"/>
      <c r="Q7" s="524"/>
      <c r="R7" s="525">
        <f>Q7+O7</f>
        <v>0</v>
      </c>
      <c r="S7" s="525">
        <f>R7+Q7</f>
        <v>0</v>
      </c>
      <c r="T7" s="385">
        <v>0</v>
      </c>
      <c r="U7" s="385">
        <v>0</v>
      </c>
      <c r="V7" s="254"/>
      <c r="W7" s="523">
        <v>0</v>
      </c>
      <c r="X7" s="524">
        <v>0</v>
      </c>
      <c r="Y7" s="524"/>
      <c r="Z7" s="524">
        <f>Y7+W7</f>
        <v>0</v>
      </c>
      <c r="AA7" s="524">
        <f>Z7+Y7</f>
        <v>0</v>
      </c>
      <c r="AB7" s="397">
        <v>0</v>
      </c>
      <c r="AC7" s="397">
        <v>0</v>
      </c>
    </row>
    <row r="8" spans="1:29" ht="15.75" customHeight="1" thickBot="1" x14ac:dyDescent="0.3">
      <c r="A8" s="57" t="s">
        <v>12</v>
      </c>
      <c r="B8" s="58"/>
      <c r="C8" s="59" t="s">
        <v>0</v>
      </c>
      <c r="D8" s="60">
        <f t="shared" ref="D8:Z8" si="0">SUM(D7:D7)</f>
        <v>0</v>
      </c>
      <c r="E8" s="255"/>
      <c r="F8" s="249">
        <f t="shared" si="0"/>
        <v>0</v>
      </c>
      <c r="G8" s="249">
        <f t="shared" si="0"/>
        <v>0</v>
      </c>
      <c r="H8" s="249">
        <f>SUM(H7:H7)</f>
        <v>0</v>
      </c>
      <c r="I8" s="249">
        <f t="shared" ref="I8:J8" si="1">SUM(I7:I7)</f>
        <v>0</v>
      </c>
      <c r="J8" s="249">
        <f t="shared" si="1"/>
        <v>0</v>
      </c>
      <c r="K8" s="249">
        <f>J8-F8</f>
        <v>0</v>
      </c>
      <c r="L8" s="249">
        <f>J8-I8</f>
        <v>0</v>
      </c>
      <c r="M8" s="249">
        <f>J8-D8</f>
        <v>0</v>
      </c>
      <c r="N8" s="255"/>
      <c r="O8" s="249">
        <f t="shared" si="0"/>
        <v>0</v>
      </c>
      <c r="P8" s="249">
        <f t="shared" si="0"/>
        <v>0</v>
      </c>
      <c r="Q8" s="249">
        <f t="shared" si="0"/>
        <v>0</v>
      </c>
      <c r="R8" s="249">
        <f t="shared" si="0"/>
        <v>0</v>
      </c>
      <c r="S8" s="249">
        <f t="shared" ref="S8" si="2">SUM(S7:S7)</f>
        <v>0</v>
      </c>
      <c r="T8" s="249">
        <f>S8-O8</f>
        <v>0</v>
      </c>
      <c r="U8" s="249">
        <f>S8-R8</f>
        <v>0</v>
      </c>
      <c r="V8" s="255"/>
      <c r="W8" s="249">
        <f t="shared" si="0"/>
        <v>0</v>
      </c>
      <c r="X8" s="249">
        <f t="shared" si="0"/>
        <v>0</v>
      </c>
      <c r="Y8" s="249">
        <f t="shared" si="0"/>
        <v>0</v>
      </c>
      <c r="Z8" s="249">
        <f t="shared" si="0"/>
        <v>0</v>
      </c>
      <c r="AA8" s="249">
        <f t="shared" ref="AA8" si="3">SUM(AA7:AA7)</f>
        <v>0</v>
      </c>
      <c r="AB8" s="60">
        <f>AA8-W8</f>
        <v>0</v>
      </c>
      <c r="AC8" s="60">
        <f>AA8-Z8</f>
        <v>0</v>
      </c>
    </row>
    <row r="9" spans="1:29" ht="15.75" customHeight="1" thickBot="1" x14ac:dyDescent="0.3">
      <c r="A9" s="73" t="s">
        <v>23</v>
      </c>
      <c r="B9" s="71"/>
      <c r="C9" s="72"/>
      <c r="D9" s="322">
        <v>0</v>
      </c>
      <c r="E9" s="256"/>
      <c r="F9" s="250">
        <v>0</v>
      </c>
      <c r="G9" s="126"/>
      <c r="H9" s="126"/>
      <c r="I9" s="276">
        <f>H9+F9</f>
        <v>0</v>
      </c>
      <c r="J9" s="276">
        <v>0</v>
      </c>
      <c r="K9" s="276">
        <v>0</v>
      </c>
      <c r="L9" s="276">
        <v>0</v>
      </c>
      <c r="M9" s="276">
        <v>0</v>
      </c>
      <c r="N9" s="256"/>
      <c r="O9" s="250">
        <v>0</v>
      </c>
      <c r="P9" s="126"/>
      <c r="Q9" s="126"/>
      <c r="R9" s="276">
        <f>Q9+O9</f>
        <v>0</v>
      </c>
      <c r="S9" s="276">
        <f>R9+Q9</f>
        <v>0</v>
      </c>
      <c r="T9" s="276">
        <v>0</v>
      </c>
      <c r="U9" s="276">
        <v>0</v>
      </c>
      <c r="V9" s="256"/>
      <c r="W9" s="250">
        <v>0</v>
      </c>
      <c r="X9" s="126">
        <v>0</v>
      </c>
      <c r="Y9" s="126"/>
      <c r="Z9" s="126">
        <f>Y9+W9</f>
        <v>0</v>
      </c>
      <c r="AA9" s="126">
        <f>Z9+Y9</f>
        <v>0</v>
      </c>
      <c r="AB9" s="126">
        <v>0</v>
      </c>
      <c r="AC9" s="126">
        <v>0</v>
      </c>
    </row>
    <row r="10" spans="1:29" ht="15.75" customHeight="1" thickBot="1" x14ac:dyDescent="0.3">
      <c r="A10" s="57" t="s">
        <v>23</v>
      </c>
      <c r="B10" s="58"/>
      <c r="C10" s="59" t="s">
        <v>0</v>
      </c>
      <c r="D10" s="60">
        <f t="shared" ref="D10:Z10" si="4">SUM(D9:D9)</f>
        <v>0</v>
      </c>
      <c r="E10" s="255"/>
      <c r="F10" s="249">
        <f t="shared" si="4"/>
        <v>0</v>
      </c>
      <c r="G10" s="249">
        <f t="shared" si="4"/>
        <v>0</v>
      </c>
      <c r="H10" s="249">
        <f>SUM(H9:H9)</f>
        <v>0</v>
      </c>
      <c r="I10" s="249">
        <f t="shared" ref="I10:J10" si="5">SUM(I9:I9)</f>
        <v>0</v>
      </c>
      <c r="J10" s="249">
        <f t="shared" si="5"/>
        <v>0</v>
      </c>
      <c r="K10" s="249">
        <f>J10-F10</f>
        <v>0</v>
      </c>
      <c r="L10" s="249">
        <f>J10-I10</f>
        <v>0</v>
      </c>
      <c r="M10" s="249">
        <f>J10-D10</f>
        <v>0</v>
      </c>
      <c r="N10" s="255"/>
      <c r="O10" s="249">
        <f t="shared" si="4"/>
        <v>0</v>
      </c>
      <c r="P10" s="249">
        <f t="shared" si="4"/>
        <v>0</v>
      </c>
      <c r="Q10" s="249">
        <f t="shared" si="4"/>
        <v>0</v>
      </c>
      <c r="R10" s="249">
        <f t="shared" si="4"/>
        <v>0</v>
      </c>
      <c r="S10" s="249">
        <f t="shared" ref="S10" si="6">SUM(S9:S9)</f>
        <v>0</v>
      </c>
      <c r="T10" s="249">
        <f>S10-O10</f>
        <v>0</v>
      </c>
      <c r="U10" s="249">
        <f>S10-R10</f>
        <v>0</v>
      </c>
      <c r="V10" s="255"/>
      <c r="W10" s="249">
        <f t="shared" si="4"/>
        <v>0</v>
      </c>
      <c r="X10" s="249">
        <f t="shared" si="4"/>
        <v>0</v>
      </c>
      <c r="Y10" s="249">
        <f t="shared" si="4"/>
        <v>0</v>
      </c>
      <c r="Z10" s="249">
        <f t="shared" si="4"/>
        <v>0</v>
      </c>
      <c r="AA10" s="249">
        <f t="shared" ref="AA10" si="7">SUM(AA9:AA9)</f>
        <v>0</v>
      </c>
      <c r="AB10" s="60">
        <f>AA10-W10</f>
        <v>0</v>
      </c>
      <c r="AC10" s="60">
        <f>AA10-Z10</f>
        <v>0</v>
      </c>
    </row>
    <row r="11" spans="1:29" ht="30" customHeight="1" x14ac:dyDescent="0.25">
      <c r="A11" s="148" t="s">
        <v>5</v>
      </c>
      <c r="B11" s="149" t="s">
        <v>52</v>
      </c>
      <c r="C11" s="124" t="s">
        <v>144</v>
      </c>
      <c r="D11" s="323">
        <v>299114973</v>
      </c>
      <c r="E11" s="257"/>
      <c r="F11" s="539">
        <v>163240000</v>
      </c>
      <c r="G11" s="540">
        <v>-30240000</v>
      </c>
      <c r="H11" s="540">
        <v>-30240000</v>
      </c>
      <c r="I11" s="541">
        <f>H11+F11</f>
        <v>133000000</v>
      </c>
      <c r="J11" s="428">
        <v>155995130</v>
      </c>
      <c r="K11" s="427">
        <f>J11-F11</f>
        <v>-7244870</v>
      </c>
      <c r="L11" s="428">
        <f>J11-I11</f>
        <v>22995130</v>
      </c>
      <c r="M11" s="427">
        <f>J11-D11</f>
        <v>-143119843</v>
      </c>
      <c r="N11" s="277"/>
      <c r="O11" s="546">
        <v>0</v>
      </c>
      <c r="P11" s="452"/>
      <c r="Q11" s="452"/>
      <c r="R11" s="401">
        <f>Q11+O11</f>
        <v>0</v>
      </c>
      <c r="S11" s="401">
        <v>0</v>
      </c>
      <c r="T11" s="428">
        <f>S11-O11</f>
        <v>0</v>
      </c>
      <c r="U11" s="428">
        <f>S11-R11</f>
        <v>0</v>
      </c>
      <c r="V11" s="260"/>
      <c r="W11" s="546">
        <v>0</v>
      </c>
      <c r="X11" s="452"/>
      <c r="Y11" s="452"/>
      <c r="Z11" s="452">
        <f>Y11+W11</f>
        <v>0</v>
      </c>
      <c r="AA11" s="452">
        <v>0</v>
      </c>
      <c r="AB11" s="428">
        <f>AA11-W11</f>
        <v>0</v>
      </c>
      <c r="AC11" s="428">
        <f>AA11-Z11</f>
        <v>0</v>
      </c>
    </row>
    <row r="12" spans="1:29" ht="30.75" customHeight="1" thickBot="1" x14ac:dyDescent="0.3">
      <c r="A12" s="140" t="s">
        <v>5</v>
      </c>
      <c r="B12" s="79" t="s">
        <v>146</v>
      </c>
      <c r="C12" s="113" t="s">
        <v>145</v>
      </c>
      <c r="D12" s="324">
        <v>34125027</v>
      </c>
      <c r="E12" s="258"/>
      <c r="F12" s="542">
        <v>170000000</v>
      </c>
      <c r="G12" s="543">
        <v>30240000</v>
      </c>
      <c r="H12" s="543">
        <v>30240000</v>
      </c>
      <c r="I12" s="544">
        <f>H12+F12</f>
        <v>200240000</v>
      </c>
      <c r="J12" s="428">
        <v>177244870</v>
      </c>
      <c r="K12" s="428">
        <f>J12-F12</f>
        <v>7244870</v>
      </c>
      <c r="L12" s="427">
        <f>J12-I12</f>
        <v>-22995130</v>
      </c>
      <c r="M12" s="428">
        <f>J12-D12</f>
        <v>143119843</v>
      </c>
      <c r="N12" s="262"/>
      <c r="O12" s="546">
        <v>333240000</v>
      </c>
      <c r="P12" s="452">
        <v>51760000</v>
      </c>
      <c r="Q12" s="452">
        <v>51760000</v>
      </c>
      <c r="R12" s="401">
        <f>Q12+O12</f>
        <v>385000000</v>
      </c>
      <c r="S12" s="401">
        <v>385000000</v>
      </c>
      <c r="T12" s="428">
        <f>S12-O12</f>
        <v>51760000</v>
      </c>
      <c r="U12" s="428">
        <f>S12-R12</f>
        <v>0</v>
      </c>
      <c r="V12" s="260"/>
      <c r="W12" s="546">
        <v>333240000</v>
      </c>
      <c r="X12" s="452">
        <v>61760000</v>
      </c>
      <c r="Y12" s="452">
        <v>61760000</v>
      </c>
      <c r="Z12" s="452">
        <f>Y12+W12</f>
        <v>395000000</v>
      </c>
      <c r="AA12" s="452">
        <v>395000000</v>
      </c>
      <c r="AB12" s="428">
        <f>AA12-W12</f>
        <v>61760000</v>
      </c>
      <c r="AC12" s="428">
        <f>AA12-Z12</f>
        <v>0</v>
      </c>
    </row>
    <row r="13" spans="1:29" ht="15.75" customHeight="1" thickBot="1" x14ac:dyDescent="0.3">
      <c r="A13" s="61" t="s">
        <v>5</v>
      </c>
      <c r="B13" s="62"/>
      <c r="C13" s="63" t="s">
        <v>0</v>
      </c>
      <c r="D13" s="64">
        <f t="shared" ref="D13:AA13" si="8">SUM(D11:D12)</f>
        <v>333240000</v>
      </c>
      <c r="E13" s="259"/>
      <c r="F13" s="251">
        <f t="shared" si="8"/>
        <v>333240000</v>
      </c>
      <c r="G13" s="251">
        <f t="shared" si="8"/>
        <v>0</v>
      </c>
      <c r="H13" s="251">
        <f>SUM(H11:H12)</f>
        <v>0</v>
      </c>
      <c r="I13" s="251">
        <f>SUM(I11:I12)</f>
        <v>333240000</v>
      </c>
      <c r="J13" s="251">
        <f>SUM(J11:J12)</f>
        <v>333240000</v>
      </c>
      <c r="K13" s="251">
        <f>J13-F13</f>
        <v>0</v>
      </c>
      <c r="L13" s="251">
        <f>J13-I13</f>
        <v>0</v>
      </c>
      <c r="M13" s="251">
        <f>J13-D13</f>
        <v>0</v>
      </c>
      <c r="N13" s="259"/>
      <c r="O13" s="251">
        <f t="shared" si="8"/>
        <v>333240000</v>
      </c>
      <c r="P13" s="251">
        <f t="shared" si="8"/>
        <v>51760000</v>
      </c>
      <c r="Q13" s="251">
        <f t="shared" si="8"/>
        <v>51760000</v>
      </c>
      <c r="R13" s="251">
        <f t="shared" si="8"/>
        <v>385000000</v>
      </c>
      <c r="S13" s="251">
        <f t="shared" si="8"/>
        <v>385000000</v>
      </c>
      <c r="T13" s="251">
        <f>S13-O13</f>
        <v>51760000</v>
      </c>
      <c r="U13" s="251">
        <f>S13-R13</f>
        <v>0</v>
      </c>
      <c r="V13" s="259"/>
      <c r="W13" s="251">
        <f t="shared" si="8"/>
        <v>333240000</v>
      </c>
      <c r="X13" s="251">
        <f t="shared" si="8"/>
        <v>61760000</v>
      </c>
      <c r="Y13" s="251">
        <f t="shared" si="8"/>
        <v>61760000</v>
      </c>
      <c r="Z13" s="251">
        <f t="shared" si="8"/>
        <v>395000000</v>
      </c>
      <c r="AA13" s="251">
        <f t="shared" si="8"/>
        <v>395000000</v>
      </c>
      <c r="AB13" s="64">
        <f>AA13-W13</f>
        <v>61760000</v>
      </c>
      <c r="AC13" s="64">
        <f>AA13-Z13</f>
        <v>0</v>
      </c>
    </row>
    <row r="14" spans="1:29" ht="15.75" customHeight="1" thickBot="1" x14ac:dyDescent="0.3">
      <c r="A14" s="67" t="s">
        <v>22</v>
      </c>
      <c r="B14" s="68"/>
      <c r="C14" s="69"/>
      <c r="D14" s="322">
        <v>0</v>
      </c>
      <c r="E14" s="256"/>
      <c r="F14" s="250">
        <v>0</v>
      </c>
      <c r="G14" s="126"/>
      <c r="H14" s="126"/>
      <c r="I14" s="276">
        <f>H14+F14</f>
        <v>0</v>
      </c>
      <c r="J14" s="276">
        <v>0</v>
      </c>
      <c r="K14" s="276">
        <v>0</v>
      </c>
      <c r="L14" s="276">
        <v>0</v>
      </c>
      <c r="M14" s="276">
        <v>0</v>
      </c>
      <c r="N14" s="256"/>
      <c r="O14" s="250">
        <v>0</v>
      </c>
      <c r="P14" s="126"/>
      <c r="Q14" s="126"/>
      <c r="R14" s="276">
        <f>Q14+O14</f>
        <v>0</v>
      </c>
      <c r="S14" s="276">
        <f>R14+Q14</f>
        <v>0</v>
      </c>
      <c r="T14" s="276">
        <v>0</v>
      </c>
      <c r="U14" s="276">
        <v>0</v>
      </c>
      <c r="V14" s="256"/>
      <c r="W14" s="250">
        <v>0</v>
      </c>
      <c r="X14" s="126">
        <v>0</v>
      </c>
      <c r="Y14" s="126"/>
      <c r="Z14" s="126">
        <f>Y14+W14</f>
        <v>0</v>
      </c>
      <c r="AA14" s="126">
        <f>Z14+Y14</f>
        <v>0</v>
      </c>
      <c r="AB14" s="126">
        <v>0</v>
      </c>
      <c r="AC14" s="126">
        <v>0</v>
      </c>
    </row>
    <row r="15" spans="1:29" ht="15.75" customHeight="1" thickBot="1" x14ac:dyDescent="0.3">
      <c r="A15" s="61" t="s">
        <v>22</v>
      </c>
      <c r="B15" s="62"/>
      <c r="C15" s="63" t="s">
        <v>0</v>
      </c>
      <c r="D15" s="64">
        <f t="shared" ref="D15:Z15" si="9">SUM(D14:D14)</f>
        <v>0</v>
      </c>
      <c r="E15" s="259"/>
      <c r="F15" s="251">
        <f t="shared" si="9"/>
        <v>0</v>
      </c>
      <c r="G15" s="251">
        <f t="shared" si="9"/>
        <v>0</v>
      </c>
      <c r="H15" s="251">
        <f>SUM(H14:H14)</f>
        <v>0</v>
      </c>
      <c r="I15" s="251">
        <f t="shared" ref="I15:J15" si="10">SUM(I14:I14)</f>
        <v>0</v>
      </c>
      <c r="J15" s="251">
        <f t="shared" si="10"/>
        <v>0</v>
      </c>
      <c r="K15" s="251">
        <f>J15-F15</f>
        <v>0</v>
      </c>
      <c r="L15" s="251">
        <f>J15-I15</f>
        <v>0</v>
      </c>
      <c r="M15" s="251">
        <f>J15-D15</f>
        <v>0</v>
      </c>
      <c r="N15" s="259"/>
      <c r="O15" s="251">
        <f t="shared" si="9"/>
        <v>0</v>
      </c>
      <c r="P15" s="251">
        <f t="shared" si="9"/>
        <v>0</v>
      </c>
      <c r="Q15" s="251">
        <f t="shared" si="9"/>
        <v>0</v>
      </c>
      <c r="R15" s="251">
        <f t="shared" si="9"/>
        <v>0</v>
      </c>
      <c r="S15" s="251">
        <f t="shared" ref="S15" si="11">SUM(S14:S14)</f>
        <v>0</v>
      </c>
      <c r="T15" s="251">
        <f>S15-O15</f>
        <v>0</v>
      </c>
      <c r="U15" s="251">
        <f>S15-R15</f>
        <v>0</v>
      </c>
      <c r="V15" s="259"/>
      <c r="W15" s="251">
        <f t="shared" si="9"/>
        <v>0</v>
      </c>
      <c r="X15" s="251">
        <f t="shared" si="9"/>
        <v>0</v>
      </c>
      <c r="Y15" s="251">
        <f t="shared" si="9"/>
        <v>0</v>
      </c>
      <c r="Z15" s="251">
        <f t="shared" si="9"/>
        <v>0</v>
      </c>
      <c r="AA15" s="251">
        <f t="shared" ref="AA15" si="12">SUM(AA14:AA14)</f>
        <v>0</v>
      </c>
      <c r="AB15" s="64">
        <f>AA15-W15</f>
        <v>0</v>
      </c>
      <c r="AC15" s="64">
        <f>AA15-Z15</f>
        <v>0</v>
      </c>
    </row>
    <row r="16" spans="1:29" ht="15.75" customHeight="1" x14ac:dyDescent="0.25">
      <c r="A16" s="29" t="s">
        <v>10</v>
      </c>
      <c r="B16" s="30" t="s">
        <v>49</v>
      </c>
      <c r="C16" s="31" t="s">
        <v>62</v>
      </c>
      <c r="D16" s="323">
        <v>200000000</v>
      </c>
      <c r="E16" s="257"/>
      <c r="F16" s="545">
        <v>0</v>
      </c>
      <c r="G16" s="429"/>
      <c r="H16" s="429"/>
      <c r="I16" s="429">
        <f t="shared" ref="I16:I22" si="13">H16+F16</f>
        <v>0</v>
      </c>
      <c r="J16" s="429">
        <v>0</v>
      </c>
      <c r="K16" s="429">
        <f>J16-F16</f>
        <v>0</v>
      </c>
      <c r="L16" s="429">
        <f>J16-I16</f>
        <v>0</v>
      </c>
      <c r="M16" s="414">
        <f>J16-D16</f>
        <v>-200000000</v>
      </c>
      <c r="N16" s="263"/>
      <c r="O16" s="545">
        <v>0</v>
      </c>
      <c r="P16" s="400"/>
      <c r="Q16" s="400"/>
      <c r="R16" s="549">
        <f t="shared" ref="R16:R22" si="14">Q16+O16</f>
        <v>0</v>
      </c>
      <c r="S16" s="549">
        <v>0</v>
      </c>
      <c r="T16" s="429">
        <f>S16-O16</f>
        <v>0</v>
      </c>
      <c r="U16" s="429">
        <f>S16-R16</f>
        <v>0</v>
      </c>
      <c r="V16" s="282"/>
      <c r="W16" s="562">
        <v>0</v>
      </c>
      <c r="X16" s="440"/>
      <c r="Y16" s="400"/>
      <c r="Z16" s="400">
        <f t="shared" ref="Z16:Z22" si="15">Y16+W16</f>
        <v>0</v>
      </c>
      <c r="AA16" s="400">
        <v>0</v>
      </c>
      <c r="AB16" s="429">
        <f>AA16-W16</f>
        <v>0</v>
      </c>
      <c r="AC16" s="429">
        <f>AA16-Z16</f>
        <v>0</v>
      </c>
    </row>
    <row r="17" spans="1:29" ht="15.75" customHeight="1" x14ac:dyDescent="0.25">
      <c r="A17" s="28" t="s">
        <v>10</v>
      </c>
      <c r="B17" s="23" t="s">
        <v>66</v>
      </c>
      <c r="C17" s="24" t="s">
        <v>50</v>
      </c>
      <c r="D17" s="325">
        <v>100000000</v>
      </c>
      <c r="E17" s="260"/>
      <c r="F17" s="546">
        <v>100000000</v>
      </c>
      <c r="G17" s="452"/>
      <c r="H17" s="452"/>
      <c r="I17" s="187">
        <f t="shared" si="13"/>
        <v>100000000</v>
      </c>
      <c r="J17" s="187">
        <v>100000000</v>
      </c>
      <c r="K17" s="187">
        <f>J17-F17</f>
        <v>0</v>
      </c>
      <c r="L17" s="187">
        <f>J17-I17</f>
        <v>0</v>
      </c>
      <c r="M17" s="187">
        <f>J17-D17</f>
        <v>0</v>
      </c>
      <c r="N17" s="260"/>
      <c r="O17" s="554">
        <v>0</v>
      </c>
      <c r="P17" s="400"/>
      <c r="Q17" s="400"/>
      <c r="R17" s="549">
        <f t="shared" si="14"/>
        <v>0</v>
      </c>
      <c r="S17" s="549">
        <v>0</v>
      </c>
      <c r="T17" s="187">
        <f>S17-O17</f>
        <v>0</v>
      </c>
      <c r="U17" s="187">
        <f>S17-R17</f>
        <v>0</v>
      </c>
      <c r="V17" s="282"/>
      <c r="W17" s="562">
        <v>0</v>
      </c>
      <c r="X17" s="440"/>
      <c r="Y17" s="400"/>
      <c r="Z17" s="400">
        <f t="shared" si="15"/>
        <v>0</v>
      </c>
      <c r="AA17" s="400">
        <v>0</v>
      </c>
      <c r="AB17" s="187">
        <f>AA17-W17</f>
        <v>0</v>
      </c>
      <c r="AC17" s="187">
        <f>AA17-Z17</f>
        <v>0</v>
      </c>
    </row>
    <row r="18" spans="1:29" ht="15.75" customHeight="1" x14ac:dyDescent="0.25">
      <c r="A18" s="95" t="s">
        <v>10</v>
      </c>
      <c r="B18" s="23" t="s">
        <v>67</v>
      </c>
      <c r="C18" s="24" t="s">
        <v>75</v>
      </c>
      <c r="D18" s="325">
        <v>70200000</v>
      </c>
      <c r="E18" s="260"/>
      <c r="F18" s="546">
        <v>98200000</v>
      </c>
      <c r="G18" s="452"/>
      <c r="H18" s="452"/>
      <c r="I18" s="187">
        <f t="shared" si="13"/>
        <v>98200000</v>
      </c>
      <c r="J18" s="187">
        <v>73200000</v>
      </c>
      <c r="K18" s="374">
        <f t="shared" ref="K18:K22" si="16">J18-F18</f>
        <v>-25000000</v>
      </c>
      <c r="L18" s="374">
        <f t="shared" ref="L18:L22" si="17">J18-I18</f>
        <v>-25000000</v>
      </c>
      <c r="M18" s="187">
        <f t="shared" ref="M18:M22" si="18">J18-D18</f>
        <v>3000000</v>
      </c>
      <c r="N18" s="260"/>
      <c r="O18" s="546">
        <v>48200000</v>
      </c>
      <c r="P18" s="576"/>
      <c r="Q18" s="576"/>
      <c r="R18" s="549">
        <f t="shared" si="14"/>
        <v>48200000</v>
      </c>
      <c r="S18" s="549">
        <v>48200000</v>
      </c>
      <c r="T18" s="187">
        <f t="shared" ref="T18:T22" si="19">S18-O18</f>
        <v>0</v>
      </c>
      <c r="U18" s="187">
        <f t="shared" ref="U18:U22" si="20">S18-R18</f>
        <v>0</v>
      </c>
      <c r="V18" s="261"/>
      <c r="W18" s="562">
        <v>0</v>
      </c>
      <c r="X18" s="440"/>
      <c r="Y18" s="576"/>
      <c r="Z18" s="400">
        <f t="shared" si="15"/>
        <v>0</v>
      </c>
      <c r="AA18" s="400">
        <v>0</v>
      </c>
      <c r="AB18" s="187">
        <f t="shared" ref="AB18:AB22" si="21">AA18-W18</f>
        <v>0</v>
      </c>
      <c r="AC18" s="187">
        <f t="shared" ref="AC18:AC22" si="22">AA18-Z18</f>
        <v>0</v>
      </c>
    </row>
    <row r="19" spans="1:29" ht="15.75" customHeight="1" x14ac:dyDescent="0.25">
      <c r="A19" s="96" t="s">
        <v>10</v>
      </c>
      <c r="B19" s="30" t="s">
        <v>76</v>
      </c>
      <c r="C19" s="31" t="s">
        <v>77</v>
      </c>
      <c r="D19" s="325">
        <v>278000000</v>
      </c>
      <c r="E19" s="260"/>
      <c r="F19" s="546">
        <v>300000000</v>
      </c>
      <c r="G19" s="452"/>
      <c r="H19" s="452"/>
      <c r="I19" s="187">
        <f t="shared" si="13"/>
        <v>300000000</v>
      </c>
      <c r="J19" s="187">
        <v>300000000</v>
      </c>
      <c r="K19" s="187">
        <f t="shared" si="16"/>
        <v>0</v>
      </c>
      <c r="L19" s="187">
        <f t="shared" si="17"/>
        <v>0</v>
      </c>
      <c r="M19" s="187">
        <f t="shared" si="18"/>
        <v>22000000</v>
      </c>
      <c r="N19" s="260"/>
      <c r="O19" s="546">
        <v>130000000</v>
      </c>
      <c r="P19" s="576"/>
      <c r="Q19" s="576"/>
      <c r="R19" s="549">
        <f t="shared" si="14"/>
        <v>130000000</v>
      </c>
      <c r="S19" s="549">
        <v>163000000</v>
      </c>
      <c r="T19" s="187">
        <f t="shared" si="19"/>
        <v>33000000</v>
      </c>
      <c r="U19" s="187">
        <f t="shared" si="20"/>
        <v>33000000</v>
      </c>
      <c r="V19" s="261"/>
      <c r="W19" s="562">
        <v>130000000</v>
      </c>
      <c r="X19" s="440"/>
      <c r="Y19" s="576"/>
      <c r="Z19" s="400">
        <f t="shared" si="15"/>
        <v>130000000</v>
      </c>
      <c r="AA19" s="400">
        <v>150000000</v>
      </c>
      <c r="AB19" s="187">
        <f t="shared" si="21"/>
        <v>20000000</v>
      </c>
      <c r="AC19" s="187">
        <f t="shared" si="22"/>
        <v>20000000</v>
      </c>
    </row>
    <row r="20" spans="1:29" ht="15.75" customHeight="1" x14ac:dyDescent="0.25">
      <c r="A20" s="96" t="s">
        <v>10</v>
      </c>
      <c r="B20" s="23"/>
      <c r="C20" s="113" t="s">
        <v>133</v>
      </c>
      <c r="D20" s="325">
        <v>0</v>
      </c>
      <c r="E20" s="260"/>
      <c r="F20" s="546">
        <v>150000000</v>
      </c>
      <c r="G20" s="452"/>
      <c r="H20" s="452"/>
      <c r="I20" s="187">
        <f t="shared" si="13"/>
        <v>150000000</v>
      </c>
      <c r="J20" s="187">
        <v>150000000</v>
      </c>
      <c r="K20" s="187">
        <f t="shared" si="16"/>
        <v>0</v>
      </c>
      <c r="L20" s="187">
        <f t="shared" si="17"/>
        <v>0</v>
      </c>
      <c r="M20" s="187">
        <f t="shared" si="18"/>
        <v>150000000</v>
      </c>
      <c r="N20" s="260"/>
      <c r="O20" s="546">
        <v>282000000</v>
      </c>
      <c r="P20" s="576">
        <v>18000000</v>
      </c>
      <c r="Q20" s="576"/>
      <c r="R20" s="549">
        <f t="shared" si="14"/>
        <v>282000000</v>
      </c>
      <c r="S20" s="549">
        <v>282000000</v>
      </c>
      <c r="T20" s="187">
        <f t="shared" si="19"/>
        <v>0</v>
      </c>
      <c r="U20" s="187">
        <f t="shared" si="20"/>
        <v>0</v>
      </c>
      <c r="V20" s="261"/>
      <c r="W20" s="563">
        <v>300000000</v>
      </c>
      <c r="X20" s="489">
        <v>50000000</v>
      </c>
      <c r="Y20" s="576">
        <v>30000000</v>
      </c>
      <c r="Z20" s="400">
        <f t="shared" si="15"/>
        <v>330000000</v>
      </c>
      <c r="AA20" s="400">
        <v>300000000</v>
      </c>
      <c r="AB20" s="187">
        <f t="shared" si="21"/>
        <v>0</v>
      </c>
      <c r="AC20" s="374">
        <f t="shared" si="22"/>
        <v>-30000000</v>
      </c>
    </row>
    <row r="21" spans="1:29" ht="15.75" customHeight="1" x14ac:dyDescent="0.25">
      <c r="A21" s="96" t="s">
        <v>10</v>
      </c>
      <c r="B21" s="23"/>
      <c r="C21" s="113" t="s">
        <v>126</v>
      </c>
      <c r="D21" s="325">
        <v>0</v>
      </c>
      <c r="E21" s="260"/>
      <c r="F21" s="546">
        <v>0</v>
      </c>
      <c r="G21" s="452"/>
      <c r="H21" s="452"/>
      <c r="I21" s="187">
        <f t="shared" si="13"/>
        <v>0</v>
      </c>
      <c r="J21" s="187">
        <v>0</v>
      </c>
      <c r="K21" s="187">
        <f t="shared" si="16"/>
        <v>0</v>
      </c>
      <c r="L21" s="187">
        <f t="shared" si="17"/>
        <v>0</v>
      </c>
      <c r="M21" s="187">
        <f t="shared" si="18"/>
        <v>0</v>
      </c>
      <c r="N21" s="260"/>
      <c r="O21" s="546">
        <v>188000000</v>
      </c>
      <c r="P21" s="452">
        <v>112000000</v>
      </c>
      <c r="Q21" s="452"/>
      <c r="R21" s="549">
        <f t="shared" si="14"/>
        <v>188000000</v>
      </c>
      <c r="S21" s="549">
        <v>130000000</v>
      </c>
      <c r="T21" s="374">
        <f t="shared" si="19"/>
        <v>-58000000</v>
      </c>
      <c r="U21" s="374">
        <f t="shared" si="20"/>
        <v>-58000000</v>
      </c>
      <c r="V21" s="260"/>
      <c r="W21" s="589">
        <v>218200000</v>
      </c>
      <c r="X21" s="488">
        <v>81800000</v>
      </c>
      <c r="Y21" s="452">
        <v>50000000</v>
      </c>
      <c r="Z21" s="400">
        <f t="shared" si="15"/>
        <v>268200000</v>
      </c>
      <c r="AA21" s="400">
        <v>130000000</v>
      </c>
      <c r="AB21" s="374">
        <f t="shared" si="21"/>
        <v>-88200000</v>
      </c>
      <c r="AC21" s="374">
        <f t="shared" si="22"/>
        <v>-138200000</v>
      </c>
    </row>
    <row r="22" spans="1:29" s="133" customFormat="1" ht="15.75" customHeight="1" thickBot="1" x14ac:dyDescent="0.3">
      <c r="A22" s="95" t="s">
        <v>10</v>
      </c>
      <c r="B22" s="219"/>
      <c r="C22" s="307" t="s">
        <v>155</v>
      </c>
      <c r="D22" s="326">
        <v>0</v>
      </c>
      <c r="E22" s="309"/>
      <c r="F22" s="547">
        <v>0</v>
      </c>
      <c r="G22" s="548"/>
      <c r="H22" s="548"/>
      <c r="I22" s="549">
        <f t="shared" si="13"/>
        <v>0</v>
      </c>
      <c r="J22" s="430">
        <v>0</v>
      </c>
      <c r="K22" s="187">
        <f t="shared" si="16"/>
        <v>0</v>
      </c>
      <c r="L22" s="187">
        <f t="shared" si="17"/>
        <v>0</v>
      </c>
      <c r="M22" s="187">
        <f t="shared" si="18"/>
        <v>0</v>
      </c>
      <c r="N22" s="309"/>
      <c r="O22" s="547">
        <v>0</v>
      </c>
      <c r="P22" s="577"/>
      <c r="Q22" s="577"/>
      <c r="R22" s="549">
        <f t="shared" si="14"/>
        <v>0</v>
      </c>
      <c r="S22" s="549">
        <v>0</v>
      </c>
      <c r="T22" s="187">
        <f t="shared" si="19"/>
        <v>0</v>
      </c>
      <c r="U22" s="187">
        <f t="shared" si="20"/>
        <v>0</v>
      </c>
      <c r="V22" s="283"/>
      <c r="W22" s="590">
        <v>0</v>
      </c>
      <c r="X22" s="499">
        <v>100000000</v>
      </c>
      <c r="Y22" s="577">
        <v>70000000</v>
      </c>
      <c r="Z22" s="400">
        <f t="shared" si="15"/>
        <v>70000000</v>
      </c>
      <c r="AA22" s="400">
        <v>43200000</v>
      </c>
      <c r="AB22" s="187">
        <f t="shared" si="21"/>
        <v>43200000</v>
      </c>
      <c r="AC22" s="374">
        <f t="shared" si="22"/>
        <v>-26800000</v>
      </c>
    </row>
    <row r="23" spans="1:29" ht="15.75" customHeight="1" thickBot="1" x14ac:dyDescent="0.3">
      <c r="A23" s="65" t="s">
        <v>10</v>
      </c>
      <c r="B23" s="58"/>
      <c r="C23" s="59" t="s">
        <v>0</v>
      </c>
      <c r="D23" s="60">
        <f t="shared" ref="D23:AA23" si="23">SUM(D16:D22)</f>
        <v>648200000</v>
      </c>
      <c r="E23" s="255"/>
      <c r="F23" s="249">
        <f t="shared" si="23"/>
        <v>648200000</v>
      </c>
      <c r="G23" s="249">
        <f t="shared" si="23"/>
        <v>0</v>
      </c>
      <c r="H23" s="249">
        <f>SUM(H16:H22)</f>
        <v>0</v>
      </c>
      <c r="I23" s="249">
        <f>SUM(I16:I22)</f>
        <v>648200000</v>
      </c>
      <c r="J23" s="249">
        <f>SUM(J16:J22)</f>
        <v>623200000</v>
      </c>
      <c r="K23" s="378">
        <f>J23-F23</f>
        <v>-25000000</v>
      </c>
      <c r="L23" s="378">
        <f>J23-I23</f>
        <v>-25000000</v>
      </c>
      <c r="M23" s="378">
        <f>J23-D23</f>
        <v>-25000000</v>
      </c>
      <c r="N23" s="255"/>
      <c r="O23" s="249">
        <f t="shared" si="23"/>
        <v>648200000</v>
      </c>
      <c r="P23" s="249">
        <f t="shared" si="23"/>
        <v>130000000</v>
      </c>
      <c r="Q23" s="249">
        <f t="shared" si="23"/>
        <v>0</v>
      </c>
      <c r="R23" s="249">
        <f t="shared" si="23"/>
        <v>648200000</v>
      </c>
      <c r="S23" s="249">
        <f t="shared" si="23"/>
        <v>623200000</v>
      </c>
      <c r="T23" s="378">
        <f>S23-O23</f>
        <v>-25000000</v>
      </c>
      <c r="U23" s="378">
        <f>S23-R23</f>
        <v>-25000000</v>
      </c>
      <c r="V23" s="255"/>
      <c r="W23" s="249">
        <f t="shared" si="23"/>
        <v>648200000</v>
      </c>
      <c r="X23" s="249">
        <f t="shared" si="23"/>
        <v>231800000</v>
      </c>
      <c r="Y23" s="249">
        <f t="shared" si="23"/>
        <v>150000000</v>
      </c>
      <c r="Z23" s="249">
        <f t="shared" si="23"/>
        <v>798200000</v>
      </c>
      <c r="AA23" s="249">
        <f t="shared" si="23"/>
        <v>623200000</v>
      </c>
      <c r="AB23" s="398">
        <f>AA23-W23</f>
        <v>-25000000</v>
      </c>
      <c r="AC23" s="398">
        <f>AA23-Z23</f>
        <v>-175000000</v>
      </c>
    </row>
    <row r="24" spans="1:29" ht="15.75" customHeight="1" thickBot="1" x14ac:dyDescent="0.3">
      <c r="A24" s="70" t="s">
        <v>24</v>
      </c>
      <c r="B24" s="71"/>
      <c r="C24" s="84"/>
      <c r="D24" s="322">
        <v>0</v>
      </c>
      <c r="E24" s="256"/>
      <c r="F24" s="250">
        <v>0</v>
      </c>
      <c r="G24" s="126"/>
      <c r="H24" s="126"/>
      <c r="I24" s="276">
        <f>H24+F24</f>
        <v>0</v>
      </c>
      <c r="J24" s="276">
        <v>0</v>
      </c>
      <c r="K24" s="276">
        <v>0</v>
      </c>
      <c r="L24" s="276">
        <v>0</v>
      </c>
      <c r="M24" s="276">
        <v>0</v>
      </c>
      <c r="N24" s="256"/>
      <c r="O24" s="250">
        <v>0</v>
      </c>
      <c r="P24" s="126"/>
      <c r="Q24" s="126"/>
      <c r="R24" s="276">
        <f>Q24+O24</f>
        <v>0</v>
      </c>
      <c r="S24" s="276">
        <f>R24+Q24</f>
        <v>0</v>
      </c>
      <c r="T24" s="276">
        <v>0</v>
      </c>
      <c r="U24" s="276">
        <v>0</v>
      </c>
      <c r="V24" s="256"/>
      <c r="W24" s="250">
        <v>0</v>
      </c>
      <c r="X24" s="126">
        <v>0</v>
      </c>
      <c r="Y24" s="126"/>
      <c r="Z24" s="126">
        <f>Y24+W24</f>
        <v>0</v>
      </c>
      <c r="AA24" s="126">
        <f>Z24+Y24</f>
        <v>0</v>
      </c>
      <c r="AB24" s="126">
        <v>0</v>
      </c>
      <c r="AC24" s="126">
        <v>0</v>
      </c>
    </row>
    <row r="25" spans="1:29" ht="15.75" customHeight="1" thickBot="1" x14ac:dyDescent="0.3">
      <c r="A25" s="65" t="s">
        <v>24</v>
      </c>
      <c r="B25" s="58"/>
      <c r="C25" s="59" t="s">
        <v>0</v>
      </c>
      <c r="D25" s="60">
        <f t="shared" ref="D25:Z25" si="24">SUM(D24:D24)</f>
        <v>0</v>
      </c>
      <c r="E25" s="255"/>
      <c r="F25" s="249">
        <f t="shared" si="24"/>
        <v>0</v>
      </c>
      <c r="G25" s="249">
        <f t="shared" si="24"/>
        <v>0</v>
      </c>
      <c r="H25" s="249">
        <f>SUM(H24:H24)</f>
        <v>0</v>
      </c>
      <c r="I25" s="249">
        <f t="shared" ref="I25:J25" si="25">SUM(I24:I24)</f>
        <v>0</v>
      </c>
      <c r="J25" s="249">
        <f t="shared" si="25"/>
        <v>0</v>
      </c>
      <c r="K25" s="249">
        <f>J25-F25</f>
        <v>0</v>
      </c>
      <c r="L25" s="249">
        <f>J25-I25</f>
        <v>0</v>
      </c>
      <c r="M25" s="249">
        <f>J25-D25</f>
        <v>0</v>
      </c>
      <c r="N25" s="255"/>
      <c r="O25" s="249">
        <f t="shared" si="24"/>
        <v>0</v>
      </c>
      <c r="P25" s="249">
        <f t="shared" si="24"/>
        <v>0</v>
      </c>
      <c r="Q25" s="249">
        <f t="shared" si="24"/>
        <v>0</v>
      </c>
      <c r="R25" s="249">
        <f t="shared" si="24"/>
        <v>0</v>
      </c>
      <c r="S25" s="249">
        <f t="shared" ref="S25" si="26">SUM(S24:S24)</f>
        <v>0</v>
      </c>
      <c r="T25" s="249">
        <f>S25-O25</f>
        <v>0</v>
      </c>
      <c r="U25" s="249">
        <f>S25-R25</f>
        <v>0</v>
      </c>
      <c r="V25" s="255"/>
      <c r="W25" s="249">
        <f t="shared" si="24"/>
        <v>0</v>
      </c>
      <c r="X25" s="249">
        <f t="shared" si="24"/>
        <v>0</v>
      </c>
      <c r="Y25" s="249">
        <f t="shared" si="24"/>
        <v>0</v>
      </c>
      <c r="Z25" s="249">
        <f t="shared" si="24"/>
        <v>0</v>
      </c>
      <c r="AA25" s="249">
        <f t="shared" ref="AA25" si="27">SUM(AA24:AA24)</f>
        <v>0</v>
      </c>
      <c r="AB25" s="60">
        <f>AA25-W25</f>
        <v>0</v>
      </c>
      <c r="AC25" s="60">
        <f>AA25-Z25</f>
        <v>0</v>
      </c>
    </row>
    <row r="26" spans="1:29" ht="15.75" customHeight="1" x14ac:dyDescent="0.25">
      <c r="A26" s="26" t="s">
        <v>3</v>
      </c>
      <c r="B26" s="27" t="s">
        <v>16</v>
      </c>
      <c r="C26" s="43" t="s">
        <v>38</v>
      </c>
      <c r="D26" s="323">
        <v>3120590033</v>
      </c>
      <c r="E26" s="257"/>
      <c r="F26" s="539">
        <v>3120590033</v>
      </c>
      <c r="G26" s="550">
        <v>127000000</v>
      </c>
      <c r="H26" s="489">
        <f>30000000+50000000</f>
        <v>80000000</v>
      </c>
      <c r="I26" s="551">
        <f t="shared" ref="I26:I34" si="28">H26+F26</f>
        <v>3200590033</v>
      </c>
      <c r="J26" s="187">
        <v>3392590033</v>
      </c>
      <c r="K26" s="187">
        <f>J26-F26</f>
        <v>272000000</v>
      </c>
      <c r="L26" s="187">
        <f>J26-I26</f>
        <v>192000000</v>
      </c>
      <c r="M26" s="187">
        <f>J26-D26</f>
        <v>272000000</v>
      </c>
      <c r="N26" s="257"/>
      <c r="O26" s="539">
        <v>3120590033</v>
      </c>
      <c r="P26" s="550">
        <v>289379502</v>
      </c>
      <c r="Q26" s="550">
        <v>80000000</v>
      </c>
      <c r="R26" s="550">
        <f t="shared" ref="R26:R34" si="29">Q26+O26</f>
        <v>3200590033</v>
      </c>
      <c r="S26" s="550">
        <v>3087590033</v>
      </c>
      <c r="T26" s="374">
        <f>S26-O26</f>
        <v>-33000000</v>
      </c>
      <c r="U26" s="374">
        <f>S26-R26</f>
        <v>-113000000</v>
      </c>
      <c r="V26" s="257"/>
      <c r="W26" s="539">
        <v>3120590033</v>
      </c>
      <c r="X26" s="550">
        <v>459877978</v>
      </c>
      <c r="Y26" s="550">
        <v>100000000</v>
      </c>
      <c r="Z26" s="550">
        <f t="shared" ref="Z26:Z34" si="30">Y26+W26</f>
        <v>3220590033</v>
      </c>
      <c r="AA26" s="550">
        <v>3082590033</v>
      </c>
      <c r="AB26" s="374">
        <f>AA26-W26</f>
        <v>-38000000</v>
      </c>
      <c r="AC26" s="374">
        <f>AA26-Z26</f>
        <v>-138000000</v>
      </c>
    </row>
    <row r="27" spans="1:29" ht="15.75" customHeight="1" x14ac:dyDescent="0.25">
      <c r="A27" s="22" t="s">
        <v>3</v>
      </c>
      <c r="B27" s="23" t="s">
        <v>17</v>
      </c>
      <c r="C27" s="24" t="s">
        <v>39</v>
      </c>
      <c r="D27" s="325">
        <v>63571000</v>
      </c>
      <c r="E27" s="260"/>
      <c r="F27" s="546">
        <v>63571000</v>
      </c>
      <c r="G27" s="452"/>
      <c r="H27" s="452"/>
      <c r="I27" s="401">
        <f t="shared" si="28"/>
        <v>63571000</v>
      </c>
      <c r="J27" s="187">
        <v>63571000</v>
      </c>
      <c r="K27" s="187">
        <f>J27-F27</f>
        <v>0</v>
      </c>
      <c r="L27" s="187">
        <f>J27-I27</f>
        <v>0</v>
      </c>
      <c r="M27" s="187">
        <f>J27-D27</f>
        <v>0</v>
      </c>
      <c r="N27" s="260"/>
      <c r="O27" s="546">
        <v>63571000</v>
      </c>
      <c r="P27" s="452"/>
      <c r="Q27" s="452"/>
      <c r="R27" s="452">
        <f t="shared" si="29"/>
        <v>63571000</v>
      </c>
      <c r="S27" s="452">
        <v>63571000</v>
      </c>
      <c r="T27" s="187">
        <f>S27-O27</f>
        <v>0</v>
      </c>
      <c r="U27" s="187">
        <f>S27-R27</f>
        <v>0</v>
      </c>
      <c r="V27" s="260"/>
      <c r="W27" s="554">
        <v>63571000</v>
      </c>
      <c r="X27" s="187"/>
      <c r="Y27" s="452"/>
      <c r="Z27" s="452">
        <f t="shared" si="30"/>
        <v>63571000</v>
      </c>
      <c r="AA27" s="452">
        <v>63571000</v>
      </c>
      <c r="AB27" s="187">
        <f>AA27-W27</f>
        <v>0</v>
      </c>
      <c r="AC27" s="187">
        <f>AA27-Z27</f>
        <v>0</v>
      </c>
    </row>
    <row r="28" spans="1:29" ht="15.75" customHeight="1" x14ac:dyDescent="0.25">
      <c r="A28" s="22" t="s">
        <v>3</v>
      </c>
      <c r="B28" s="23" t="s">
        <v>28</v>
      </c>
      <c r="C28" s="24" t="s">
        <v>120</v>
      </c>
      <c r="D28" s="325">
        <v>625361000</v>
      </c>
      <c r="E28" s="260"/>
      <c r="F28" s="546">
        <v>625361000</v>
      </c>
      <c r="G28" s="452"/>
      <c r="H28" s="452"/>
      <c r="I28" s="401">
        <f t="shared" si="28"/>
        <v>625361000</v>
      </c>
      <c r="J28" s="187">
        <v>425361000</v>
      </c>
      <c r="K28" s="374">
        <f t="shared" ref="K28:K34" si="31">J28-F28</f>
        <v>-200000000</v>
      </c>
      <c r="L28" s="374">
        <f t="shared" ref="L28:L34" si="32">J28-I28</f>
        <v>-200000000</v>
      </c>
      <c r="M28" s="374">
        <f t="shared" ref="M28:M34" si="33">J28-D28</f>
        <v>-200000000</v>
      </c>
      <c r="N28" s="260"/>
      <c r="O28" s="546">
        <v>625361000</v>
      </c>
      <c r="P28" s="452"/>
      <c r="Q28" s="452"/>
      <c r="R28" s="452">
        <f t="shared" si="29"/>
        <v>625361000</v>
      </c>
      <c r="S28" s="452">
        <v>425361000</v>
      </c>
      <c r="T28" s="374">
        <f t="shared" ref="T28:T34" si="34">S28-O28</f>
        <v>-200000000</v>
      </c>
      <c r="U28" s="374">
        <f t="shared" ref="U28:U34" si="35">S28-R28</f>
        <v>-200000000</v>
      </c>
      <c r="V28" s="260"/>
      <c r="W28" s="554">
        <v>625361000</v>
      </c>
      <c r="X28" s="187"/>
      <c r="Y28" s="452"/>
      <c r="Z28" s="452">
        <f t="shared" si="30"/>
        <v>625361000</v>
      </c>
      <c r="AA28" s="452">
        <v>425361000</v>
      </c>
      <c r="AB28" s="374">
        <f t="shared" ref="AB28:AB34" si="36">AA28-W28</f>
        <v>-200000000</v>
      </c>
      <c r="AC28" s="374">
        <f t="shared" ref="AC28:AC34" si="37">AA28-Z28</f>
        <v>-200000000</v>
      </c>
    </row>
    <row r="29" spans="1:29" ht="15.75" customHeight="1" x14ac:dyDescent="0.25">
      <c r="A29" s="22" t="s">
        <v>3</v>
      </c>
      <c r="B29" s="23" t="s">
        <v>128</v>
      </c>
      <c r="C29" s="25" t="s">
        <v>40</v>
      </c>
      <c r="D29" s="325">
        <v>378636386</v>
      </c>
      <c r="E29" s="260"/>
      <c r="F29" s="546">
        <v>378636386</v>
      </c>
      <c r="G29" s="452">
        <v>50000000</v>
      </c>
      <c r="H29" s="452">
        <v>5000000</v>
      </c>
      <c r="I29" s="401">
        <f t="shared" si="28"/>
        <v>383636386</v>
      </c>
      <c r="J29" s="187">
        <v>378636386</v>
      </c>
      <c r="K29" s="187">
        <f t="shared" si="31"/>
        <v>0</v>
      </c>
      <c r="L29" s="374">
        <f t="shared" si="32"/>
        <v>-5000000</v>
      </c>
      <c r="M29" s="187">
        <f t="shared" si="33"/>
        <v>0</v>
      </c>
      <c r="N29" s="260"/>
      <c r="O29" s="546">
        <v>378636386</v>
      </c>
      <c r="P29" s="452">
        <v>100000000</v>
      </c>
      <c r="Q29" s="452">
        <v>30000000</v>
      </c>
      <c r="R29" s="452">
        <f t="shared" si="29"/>
        <v>408636386</v>
      </c>
      <c r="S29" s="452">
        <v>378636386</v>
      </c>
      <c r="T29" s="187">
        <f t="shared" si="34"/>
        <v>0</v>
      </c>
      <c r="U29" s="374">
        <f t="shared" si="35"/>
        <v>-30000000</v>
      </c>
      <c r="V29" s="260"/>
      <c r="W29" s="554">
        <v>378636386</v>
      </c>
      <c r="X29" s="187">
        <v>100000000</v>
      </c>
      <c r="Y29" s="452">
        <v>30000000</v>
      </c>
      <c r="Z29" s="452">
        <f t="shared" si="30"/>
        <v>408636386</v>
      </c>
      <c r="AA29" s="452">
        <v>378636386</v>
      </c>
      <c r="AB29" s="187">
        <f t="shared" si="36"/>
        <v>0</v>
      </c>
      <c r="AC29" s="374">
        <f t="shared" si="37"/>
        <v>-30000000</v>
      </c>
    </row>
    <row r="30" spans="1:29" ht="15.75" customHeight="1" x14ac:dyDescent="0.25">
      <c r="A30" s="36" t="s">
        <v>3</v>
      </c>
      <c r="B30" s="33" t="s">
        <v>68</v>
      </c>
      <c r="C30" s="37" t="s">
        <v>41</v>
      </c>
      <c r="D30" s="325">
        <v>375000000</v>
      </c>
      <c r="E30" s="260"/>
      <c r="F30" s="546">
        <v>375000000</v>
      </c>
      <c r="G30" s="452">
        <v>150000000</v>
      </c>
      <c r="H30" s="489">
        <f>85000000+15000000</f>
        <v>100000000</v>
      </c>
      <c r="I30" s="401">
        <f t="shared" si="28"/>
        <v>475000000</v>
      </c>
      <c r="J30" s="187">
        <v>375000000</v>
      </c>
      <c r="K30" s="187">
        <f t="shared" si="31"/>
        <v>0</v>
      </c>
      <c r="L30" s="374">
        <f t="shared" si="32"/>
        <v>-100000000</v>
      </c>
      <c r="M30" s="187">
        <f t="shared" si="33"/>
        <v>0</v>
      </c>
      <c r="N30" s="260"/>
      <c r="O30" s="546">
        <v>375000000</v>
      </c>
      <c r="P30" s="452">
        <v>200000000</v>
      </c>
      <c r="Q30" s="452">
        <v>100000000</v>
      </c>
      <c r="R30" s="452">
        <f t="shared" si="29"/>
        <v>475000000</v>
      </c>
      <c r="S30" s="452">
        <v>375000000</v>
      </c>
      <c r="T30" s="187">
        <f t="shared" si="34"/>
        <v>0</v>
      </c>
      <c r="U30" s="374">
        <f t="shared" si="35"/>
        <v>-100000000</v>
      </c>
      <c r="V30" s="260"/>
      <c r="W30" s="554">
        <v>375000000</v>
      </c>
      <c r="X30" s="187">
        <v>250000000</v>
      </c>
      <c r="Y30" s="452">
        <v>100000000</v>
      </c>
      <c r="Z30" s="452">
        <f t="shared" si="30"/>
        <v>475000000</v>
      </c>
      <c r="AA30" s="452">
        <v>375000000</v>
      </c>
      <c r="AB30" s="187">
        <f t="shared" si="36"/>
        <v>0</v>
      </c>
      <c r="AC30" s="374">
        <f t="shared" si="37"/>
        <v>-100000000</v>
      </c>
    </row>
    <row r="31" spans="1:29" ht="15.75" customHeight="1" x14ac:dyDescent="0.25">
      <c r="A31" s="22" t="s">
        <v>3</v>
      </c>
      <c r="B31" s="23" t="s">
        <v>69</v>
      </c>
      <c r="C31" s="113" t="s">
        <v>42</v>
      </c>
      <c r="D31" s="325">
        <v>100000000</v>
      </c>
      <c r="E31" s="260"/>
      <c r="F31" s="546">
        <v>100000000</v>
      </c>
      <c r="G31" s="452">
        <v>50000000</v>
      </c>
      <c r="H31" s="452"/>
      <c r="I31" s="401">
        <f t="shared" si="28"/>
        <v>100000000</v>
      </c>
      <c r="J31" s="187">
        <v>100000000</v>
      </c>
      <c r="K31" s="187">
        <f t="shared" si="31"/>
        <v>0</v>
      </c>
      <c r="L31" s="187">
        <f t="shared" si="32"/>
        <v>0</v>
      </c>
      <c r="M31" s="187">
        <f t="shared" si="33"/>
        <v>0</v>
      </c>
      <c r="N31" s="260"/>
      <c r="O31" s="546">
        <v>100000000</v>
      </c>
      <c r="P31" s="452">
        <v>100000000</v>
      </c>
      <c r="Q31" s="452">
        <v>30000000</v>
      </c>
      <c r="R31" s="452">
        <f t="shared" si="29"/>
        <v>130000000</v>
      </c>
      <c r="S31" s="452">
        <v>100000000</v>
      </c>
      <c r="T31" s="187">
        <f t="shared" si="34"/>
        <v>0</v>
      </c>
      <c r="U31" s="374">
        <f t="shared" si="35"/>
        <v>-30000000</v>
      </c>
      <c r="V31" s="260"/>
      <c r="W31" s="554">
        <v>100000000</v>
      </c>
      <c r="X31" s="187">
        <v>150000000</v>
      </c>
      <c r="Y31" s="452">
        <v>30000000</v>
      </c>
      <c r="Z31" s="452">
        <f t="shared" si="30"/>
        <v>130000000</v>
      </c>
      <c r="AA31" s="452">
        <v>100000000</v>
      </c>
      <c r="AB31" s="187">
        <f t="shared" si="36"/>
        <v>0</v>
      </c>
      <c r="AC31" s="374">
        <f t="shared" si="37"/>
        <v>-30000000</v>
      </c>
    </row>
    <row r="32" spans="1:29" ht="15.75" customHeight="1" x14ac:dyDescent="0.25">
      <c r="A32" s="140" t="s">
        <v>3</v>
      </c>
      <c r="B32" s="23" t="s">
        <v>113</v>
      </c>
      <c r="C32" s="113" t="s">
        <v>131</v>
      </c>
      <c r="D32" s="325">
        <v>0</v>
      </c>
      <c r="E32" s="260"/>
      <c r="F32" s="546">
        <v>0</v>
      </c>
      <c r="G32" s="452">
        <v>20000000</v>
      </c>
      <c r="H32" s="452"/>
      <c r="I32" s="401">
        <f t="shared" si="28"/>
        <v>0</v>
      </c>
      <c r="J32" s="401">
        <v>0</v>
      </c>
      <c r="K32" s="187">
        <f t="shared" si="31"/>
        <v>0</v>
      </c>
      <c r="L32" s="187">
        <f t="shared" si="32"/>
        <v>0</v>
      </c>
      <c r="M32" s="187">
        <f t="shared" si="33"/>
        <v>0</v>
      </c>
      <c r="N32" s="260"/>
      <c r="O32" s="546">
        <v>0</v>
      </c>
      <c r="P32" s="452">
        <v>20000000</v>
      </c>
      <c r="Q32" s="578">
        <v>0</v>
      </c>
      <c r="R32" s="452">
        <f t="shared" si="29"/>
        <v>0</v>
      </c>
      <c r="S32" s="452">
        <v>0</v>
      </c>
      <c r="T32" s="187">
        <f t="shared" si="34"/>
        <v>0</v>
      </c>
      <c r="U32" s="187">
        <f t="shared" si="35"/>
        <v>0</v>
      </c>
      <c r="V32" s="260"/>
      <c r="W32" s="546">
        <v>0</v>
      </c>
      <c r="X32" s="452">
        <v>20000000</v>
      </c>
      <c r="Y32" s="578">
        <v>0</v>
      </c>
      <c r="Z32" s="452">
        <f t="shared" si="30"/>
        <v>0</v>
      </c>
      <c r="AA32" s="452">
        <v>0</v>
      </c>
      <c r="AB32" s="187">
        <f t="shared" si="36"/>
        <v>0</v>
      </c>
      <c r="AC32" s="187">
        <f t="shared" si="37"/>
        <v>0</v>
      </c>
    </row>
    <row r="33" spans="1:29" s="133" customFormat="1" ht="15.75" customHeight="1" x14ac:dyDescent="0.25">
      <c r="A33" s="140" t="s">
        <v>3</v>
      </c>
      <c r="B33" s="23"/>
      <c r="C33" s="113" t="s">
        <v>124</v>
      </c>
      <c r="D33" s="325">
        <v>0</v>
      </c>
      <c r="E33" s="260"/>
      <c r="F33" s="546">
        <v>0</v>
      </c>
      <c r="G33" s="452">
        <v>80000000</v>
      </c>
      <c r="H33" s="452">
        <v>50000000</v>
      </c>
      <c r="I33" s="401">
        <f t="shared" si="28"/>
        <v>50000000</v>
      </c>
      <c r="J33" s="187">
        <v>0</v>
      </c>
      <c r="K33" s="187">
        <f t="shared" si="31"/>
        <v>0</v>
      </c>
      <c r="L33" s="374">
        <f t="shared" si="32"/>
        <v>-50000000</v>
      </c>
      <c r="M33" s="187">
        <f t="shared" si="33"/>
        <v>0</v>
      </c>
      <c r="N33" s="260"/>
      <c r="O33" s="546">
        <v>0</v>
      </c>
      <c r="P33" s="452">
        <v>132000000</v>
      </c>
      <c r="Q33" s="452">
        <v>80000000</v>
      </c>
      <c r="R33" s="452">
        <f t="shared" si="29"/>
        <v>80000000</v>
      </c>
      <c r="S33" s="452">
        <v>0</v>
      </c>
      <c r="T33" s="187">
        <f t="shared" si="34"/>
        <v>0</v>
      </c>
      <c r="U33" s="374">
        <f t="shared" si="35"/>
        <v>-80000000</v>
      </c>
      <c r="V33" s="260"/>
      <c r="W33" s="546">
        <v>0</v>
      </c>
      <c r="X33" s="452">
        <v>104000000</v>
      </c>
      <c r="Y33" s="452">
        <v>80000000</v>
      </c>
      <c r="Z33" s="452">
        <f t="shared" si="30"/>
        <v>80000000</v>
      </c>
      <c r="AA33" s="452">
        <v>0</v>
      </c>
      <c r="AB33" s="187">
        <f t="shared" si="36"/>
        <v>0</v>
      </c>
      <c r="AC33" s="374">
        <f t="shared" si="37"/>
        <v>-80000000</v>
      </c>
    </row>
    <row r="34" spans="1:29" s="133" customFormat="1" ht="15.75" customHeight="1" thickBot="1" x14ac:dyDescent="0.3">
      <c r="A34" s="147" t="s">
        <v>3</v>
      </c>
      <c r="B34" s="170"/>
      <c r="C34" s="69" t="s">
        <v>125</v>
      </c>
      <c r="D34" s="325">
        <v>0</v>
      </c>
      <c r="E34" s="260"/>
      <c r="F34" s="546">
        <v>0</v>
      </c>
      <c r="G34" s="452">
        <v>80000000</v>
      </c>
      <c r="H34" s="489">
        <f>70000000-70000000</f>
        <v>0</v>
      </c>
      <c r="I34" s="401">
        <f t="shared" si="28"/>
        <v>0</v>
      </c>
      <c r="J34" s="401">
        <v>0</v>
      </c>
      <c r="K34" s="187">
        <f t="shared" si="31"/>
        <v>0</v>
      </c>
      <c r="L34" s="187">
        <f t="shared" si="32"/>
        <v>0</v>
      </c>
      <c r="M34" s="187">
        <f t="shared" si="33"/>
        <v>0</v>
      </c>
      <c r="N34" s="260"/>
      <c r="O34" s="546">
        <v>0</v>
      </c>
      <c r="P34" s="452">
        <v>81000000</v>
      </c>
      <c r="Q34" s="452">
        <v>70000000</v>
      </c>
      <c r="R34" s="541">
        <f t="shared" si="29"/>
        <v>70000000</v>
      </c>
      <c r="S34" s="541">
        <v>0</v>
      </c>
      <c r="T34" s="187">
        <f t="shared" si="34"/>
        <v>0</v>
      </c>
      <c r="U34" s="374">
        <f t="shared" si="35"/>
        <v>-70000000</v>
      </c>
      <c r="V34" s="260"/>
      <c r="W34" s="546">
        <v>0</v>
      </c>
      <c r="X34" s="452">
        <v>82000000</v>
      </c>
      <c r="Y34" s="452">
        <v>70000000</v>
      </c>
      <c r="Z34" s="452">
        <f t="shared" si="30"/>
        <v>70000000</v>
      </c>
      <c r="AA34" s="452">
        <v>0</v>
      </c>
      <c r="AB34" s="187">
        <f t="shared" si="36"/>
        <v>0</v>
      </c>
      <c r="AC34" s="374">
        <f t="shared" si="37"/>
        <v>-70000000</v>
      </c>
    </row>
    <row r="35" spans="1:29" ht="15.75" customHeight="1" thickBot="1" x14ac:dyDescent="0.3">
      <c r="A35" s="57" t="s">
        <v>3</v>
      </c>
      <c r="B35" s="58"/>
      <c r="C35" s="59" t="s">
        <v>0</v>
      </c>
      <c r="D35" s="60">
        <f t="shared" ref="D35:AA35" si="38">SUM(D26:D34)</f>
        <v>4663158419</v>
      </c>
      <c r="E35" s="255"/>
      <c r="F35" s="249">
        <f t="shared" si="38"/>
        <v>4663158419</v>
      </c>
      <c r="G35" s="249">
        <f t="shared" si="38"/>
        <v>557000000</v>
      </c>
      <c r="H35" s="249">
        <f>SUM(H26:H34)</f>
        <v>235000000</v>
      </c>
      <c r="I35" s="249">
        <f>SUM(I26:I34)</f>
        <v>4898158419</v>
      </c>
      <c r="J35" s="249">
        <f>SUM(J26:J34)</f>
        <v>4735158419</v>
      </c>
      <c r="K35" s="249">
        <f>J35-F35</f>
        <v>72000000</v>
      </c>
      <c r="L35" s="378">
        <f>J35-I35</f>
        <v>-163000000</v>
      </c>
      <c r="M35" s="249">
        <f>J35-D35</f>
        <v>72000000</v>
      </c>
      <c r="N35" s="255"/>
      <c r="O35" s="249">
        <f t="shared" si="38"/>
        <v>4663158419</v>
      </c>
      <c r="P35" s="249">
        <f t="shared" si="38"/>
        <v>922379502</v>
      </c>
      <c r="Q35" s="249">
        <f t="shared" si="38"/>
        <v>390000000</v>
      </c>
      <c r="R35" s="249">
        <f t="shared" si="38"/>
        <v>5053158419</v>
      </c>
      <c r="S35" s="249">
        <f t="shared" si="38"/>
        <v>4430158419</v>
      </c>
      <c r="T35" s="378">
        <f>S35-O35</f>
        <v>-233000000</v>
      </c>
      <c r="U35" s="378">
        <f>S35-R35</f>
        <v>-623000000</v>
      </c>
      <c r="V35" s="255"/>
      <c r="W35" s="249">
        <f t="shared" si="38"/>
        <v>4663158419</v>
      </c>
      <c r="X35" s="249">
        <f t="shared" si="38"/>
        <v>1165877978</v>
      </c>
      <c r="Y35" s="249">
        <f t="shared" si="38"/>
        <v>410000000</v>
      </c>
      <c r="Z35" s="249">
        <f t="shared" si="38"/>
        <v>5073158419</v>
      </c>
      <c r="AA35" s="249">
        <f t="shared" si="38"/>
        <v>4425158419</v>
      </c>
      <c r="AB35" s="398">
        <f>AA35-W35</f>
        <v>-238000000</v>
      </c>
      <c r="AC35" s="398">
        <f>AA35-Z35</f>
        <v>-648000000</v>
      </c>
    </row>
    <row r="36" spans="1:29" ht="15.75" customHeight="1" x14ac:dyDescent="0.25">
      <c r="A36" s="160" t="s">
        <v>6</v>
      </c>
      <c r="B36" s="128" t="s">
        <v>37</v>
      </c>
      <c r="C36" s="163" t="s">
        <v>43</v>
      </c>
      <c r="D36" s="323">
        <v>311000000</v>
      </c>
      <c r="E36" s="257"/>
      <c r="F36" s="539">
        <v>195000000</v>
      </c>
      <c r="G36" s="550"/>
      <c r="H36" s="550"/>
      <c r="I36" s="551">
        <f>H36+F36</f>
        <v>195000000</v>
      </c>
      <c r="J36" s="187">
        <v>195000000</v>
      </c>
      <c r="K36" s="187">
        <f>J36-F36</f>
        <v>0</v>
      </c>
      <c r="L36" s="187">
        <f>J36-I36</f>
        <v>0</v>
      </c>
      <c r="M36" s="374">
        <f>J36-D36</f>
        <v>-116000000</v>
      </c>
      <c r="N36" s="257"/>
      <c r="O36" s="539">
        <v>81000000</v>
      </c>
      <c r="P36" s="550"/>
      <c r="Q36" s="550"/>
      <c r="R36" s="551">
        <f>Q36+O36</f>
        <v>81000000</v>
      </c>
      <c r="S36" s="551">
        <v>81000000</v>
      </c>
      <c r="T36" s="187">
        <f>S36-O36</f>
        <v>0</v>
      </c>
      <c r="U36" s="187">
        <f>S36-R36</f>
        <v>0</v>
      </c>
      <c r="V36" s="257"/>
      <c r="W36" s="591">
        <v>0</v>
      </c>
      <c r="X36" s="439">
        <v>0</v>
      </c>
      <c r="Y36" s="550"/>
      <c r="Z36" s="550">
        <f>Y36+W36</f>
        <v>0</v>
      </c>
      <c r="AA36" s="550">
        <v>0</v>
      </c>
      <c r="AB36" s="187">
        <f>AA36-W36</f>
        <v>0</v>
      </c>
      <c r="AC36" s="187">
        <f>AA36-Z36</f>
        <v>0</v>
      </c>
    </row>
    <row r="37" spans="1:29" ht="15.75" customHeight="1" thickBot="1" x14ac:dyDescent="0.3">
      <c r="A37" s="95" t="s">
        <v>6</v>
      </c>
      <c r="B37" s="85" t="s">
        <v>136</v>
      </c>
      <c r="C37" s="31" t="s">
        <v>132</v>
      </c>
      <c r="D37" s="324">
        <v>229000000</v>
      </c>
      <c r="E37" s="258"/>
      <c r="F37" s="542">
        <v>425000000</v>
      </c>
      <c r="G37" s="552"/>
      <c r="H37" s="552"/>
      <c r="I37" s="553">
        <f>H37+F37</f>
        <v>425000000</v>
      </c>
      <c r="J37" s="187">
        <v>144442368</v>
      </c>
      <c r="K37" s="374">
        <f>J37-F37</f>
        <v>-280557632</v>
      </c>
      <c r="L37" s="374">
        <f>J37-I37</f>
        <v>-280557632</v>
      </c>
      <c r="M37" s="374">
        <f>J37-D37</f>
        <v>-84557632</v>
      </c>
      <c r="N37" s="258"/>
      <c r="O37" s="542">
        <v>539000000</v>
      </c>
      <c r="P37" s="577"/>
      <c r="Q37" s="577"/>
      <c r="R37" s="579">
        <f>Q37+O37</f>
        <v>539000000</v>
      </c>
      <c r="S37" s="579">
        <v>258442368</v>
      </c>
      <c r="T37" s="374">
        <f>S37-O37</f>
        <v>-280557632</v>
      </c>
      <c r="U37" s="374">
        <f>S37-R37</f>
        <v>-280557632</v>
      </c>
      <c r="V37" s="283"/>
      <c r="W37" s="590">
        <v>620000000</v>
      </c>
      <c r="X37" s="499"/>
      <c r="Y37" s="577"/>
      <c r="Z37" s="577">
        <f>Y37+W37</f>
        <v>620000000</v>
      </c>
      <c r="AA37" s="577">
        <v>339442368</v>
      </c>
      <c r="AB37" s="374">
        <f>AA37-W37</f>
        <v>-280557632</v>
      </c>
      <c r="AC37" s="374">
        <f>AA37-Z37</f>
        <v>-280557632</v>
      </c>
    </row>
    <row r="38" spans="1:29" ht="15.75" customHeight="1" thickBot="1" x14ac:dyDescent="0.3">
      <c r="A38" s="65" t="s">
        <v>6</v>
      </c>
      <c r="B38" s="58"/>
      <c r="C38" s="59" t="s">
        <v>0</v>
      </c>
      <c r="D38" s="60">
        <f t="shared" ref="D38:AA38" si="39">SUM(D36:D37)</f>
        <v>540000000</v>
      </c>
      <c r="E38" s="255"/>
      <c r="F38" s="249">
        <f t="shared" si="39"/>
        <v>620000000</v>
      </c>
      <c r="G38" s="249">
        <f t="shared" si="39"/>
        <v>0</v>
      </c>
      <c r="H38" s="249">
        <f>SUM(H36:H37)</f>
        <v>0</v>
      </c>
      <c r="I38" s="249">
        <f>SUM(I36:I37)</f>
        <v>620000000</v>
      </c>
      <c r="J38" s="249">
        <f>SUM(J36:J37)</f>
        <v>339442368</v>
      </c>
      <c r="K38" s="378">
        <f>J38-F38</f>
        <v>-280557632</v>
      </c>
      <c r="L38" s="378">
        <f>J38-I38</f>
        <v>-280557632</v>
      </c>
      <c r="M38" s="378">
        <f>J38-D38</f>
        <v>-200557632</v>
      </c>
      <c r="N38" s="255"/>
      <c r="O38" s="249">
        <f t="shared" si="39"/>
        <v>620000000</v>
      </c>
      <c r="P38" s="249">
        <f t="shared" si="39"/>
        <v>0</v>
      </c>
      <c r="Q38" s="249">
        <f t="shared" si="39"/>
        <v>0</v>
      </c>
      <c r="R38" s="249">
        <f t="shared" si="39"/>
        <v>620000000</v>
      </c>
      <c r="S38" s="249">
        <f t="shared" si="39"/>
        <v>339442368</v>
      </c>
      <c r="T38" s="378">
        <f>S38-O38</f>
        <v>-280557632</v>
      </c>
      <c r="U38" s="378">
        <f>S38-R38</f>
        <v>-280557632</v>
      </c>
      <c r="V38" s="255"/>
      <c r="W38" s="249">
        <f t="shared" si="39"/>
        <v>620000000</v>
      </c>
      <c r="X38" s="249">
        <f t="shared" si="39"/>
        <v>0</v>
      </c>
      <c r="Y38" s="249">
        <f t="shared" si="39"/>
        <v>0</v>
      </c>
      <c r="Z38" s="249">
        <f t="shared" si="39"/>
        <v>620000000</v>
      </c>
      <c r="AA38" s="249">
        <f t="shared" si="39"/>
        <v>339442368</v>
      </c>
      <c r="AB38" s="398">
        <f>AA38-W38</f>
        <v>-280557632</v>
      </c>
      <c r="AC38" s="398">
        <f>AA38-Z38</f>
        <v>-280557632</v>
      </c>
    </row>
    <row r="39" spans="1:29" ht="15.75" customHeight="1" thickBot="1" x14ac:dyDescent="0.3">
      <c r="A39" s="67" t="s">
        <v>21</v>
      </c>
      <c r="B39" s="80"/>
      <c r="C39" s="86"/>
      <c r="D39" s="322">
        <v>0</v>
      </c>
      <c r="E39" s="256"/>
      <c r="F39" s="250">
        <v>0</v>
      </c>
      <c r="G39" s="126"/>
      <c r="H39" s="126"/>
      <c r="I39" s="276">
        <f>H39+F39</f>
        <v>0</v>
      </c>
      <c r="J39" s="276">
        <v>0</v>
      </c>
      <c r="K39" s="276">
        <v>0</v>
      </c>
      <c r="L39" s="276">
        <v>0</v>
      </c>
      <c r="M39" s="276">
        <v>0</v>
      </c>
      <c r="N39" s="256"/>
      <c r="O39" s="250">
        <v>0</v>
      </c>
      <c r="P39" s="126"/>
      <c r="Q39" s="126"/>
      <c r="R39" s="276">
        <f>Q39+O39</f>
        <v>0</v>
      </c>
      <c r="S39" s="276">
        <f>R39+Q39</f>
        <v>0</v>
      </c>
      <c r="T39" s="276">
        <v>0</v>
      </c>
      <c r="U39" s="276">
        <v>0</v>
      </c>
      <c r="V39" s="256"/>
      <c r="W39" s="250">
        <v>0</v>
      </c>
      <c r="X39" s="126">
        <v>0</v>
      </c>
      <c r="Y39" s="126"/>
      <c r="Z39" s="126">
        <f>Y39+W39</f>
        <v>0</v>
      </c>
      <c r="AA39" s="126">
        <f>Z39+Y39</f>
        <v>0</v>
      </c>
      <c r="AB39" s="126">
        <v>0</v>
      </c>
      <c r="AC39" s="126">
        <v>0</v>
      </c>
    </row>
    <row r="40" spans="1:29" ht="15.75" customHeight="1" thickBot="1" x14ac:dyDescent="0.3">
      <c r="A40" s="65" t="s">
        <v>21</v>
      </c>
      <c r="B40" s="58"/>
      <c r="C40" s="59" t="s">
        <v>0</v>
      </c>
      <c r="D40" s="60">
        <f t="shared" ref="D40:Z40" si="40">SUM(D39:D39)</f>
        <v>0</v>
      </c>
      <c r="E40" s="255"/>
      <c r="F40" s="249">
        <f t="shared" si="40"/>
        <v>0</v>
      </c>
      <c r="G40" s="249">
        <f t="shared" si="40"/>
        <v>0</v>
      </c>
      <c r="H40" s="249">
        <f>SUM(H39:H39)</f>
        <v>0</v>
      </c>
      <c r="I40" s="249">
        <f t="shared" ref="I40:J40" si="41">SUM(I39:I39)</f>
        <v>0</v>
      </c>
      <c r="J40" s="249">
        <f t="shared" si="41"/>
        <v>0</v>
      </c>
      <c r="K40" s="249">
        <f>J40-F40</f>
        <v>0</v>
      </c>
      <c r="L40" s="249">
        <f t="shared" ref="L40:L45" si="42">J40-I40</f>
        <v>0</v>
      </c>
      <c r="M40" s="249">
        <f t="shared" ref="M40:M45" si="43">J40-D40</f>
        <v>0</v>
      </c>
      <c r="N40" s="255"/>
      <c r="O40" s="249">
        <f t="shared" si="40"/>
        <v>0</v>
      </c>
      <c r="P40" s="249">
        <f t="shared" si="40"/>
        <v>0</v>
      </c>
      <c r="Q40" s="249">
        <f t="shared" si="40"/>
        <v>0</v>
      </c>
      <c r="R40" s="249">
        <f t="shared" si="40"/>
        <v>0</v>
      </c>
      <c r="S40" s="249">
        <f t="shared" ref="S40" si="44">SUM(S39:S39)</f>
        <v>0</v>
      </c>
      <c r="T40" s="249">
        <f>S40-O40</f>
        <v>0</v>
      </c>
      <c r="U40" s="249">
        <f t="shared" ref="U40:U45" si="45">S40-R40</f>
        <v>0</v>
      </c>
      <c r="V40" s="255"/>
      <c r="W40" s="249">
        <f t="shared" si="40"/>
        <v>0</v>
      </c>
      <c r="X40" s="249">
        <f t="shared" si="40"/>
        <v>0</v>
      </c>
      <c r="Y40" s="249">
        <f t="shared" si="40"/>
        <v>0</v>
      </c>
      <c r="Z40" s="249">
        <f t="shared" si="40"/>
        <v>0</v>
      </c>
      <c r="AA40" s="249">
        <f t="shared" ref="AA40" si="46">SUM(AA39:AA39)</f>
        <v>0</v>
      </c>
      <c r="AB40" s="60">
        <f>AA40-W40</f>
        <v>0</v>
      </c>
      <c r="AC40" s="60">
        <f t="shared" ref="AC40:AC45" si="47">AA40-Z40</f>
        <v>0</v>
      </c>
    </row>
    <row r="41" spans="1:29" ht="15.75" customHeight="1" x14ac:dyDescent="0.25">
      <c r="A41" s="127" t="s">
        <v>11</v>
      </c>
      <c r="B41" s="128" t="s">
        <v>29</v>
      </c>
      <c r="C41" s="129" t="s">
        <v>44</v>
      </c>
      <c r="D41" s="323">
        <v>227920650</v>
      </c>
      <c r="E41" s="261"/>
      <c r="F41" s="546">
        <v>0</v>
      </c>
      <c r="G41" s="452"/>
      <c r="H41" s="452"/>
      <c r="I41" s="401">
        <f>H41+F41</f>
        <v>0</v>
      </c>
      <c r="J41" s="401">
        <v>0</v>
      </c>
      <c r="K41" s="401">
        <v>0</v>
      </c>
      <c r="L41" s="401">
        <f t="shared" si="42"/>
        <v>0</v>
      </c>
      <c r="M41" s="431">
        <f t="shared" si="43"/>
        <v>-227920650</v>
      </c>
      <c r="N41" s="260"/>
      <c r="O41" s="546">
        <v>0</v>
      </c>
      <c r="P41" s="452"/>
      <c r="Q41" s="452"/>
      <c r="R41" s="401">
        <f>Q41+O41</f>
        <v>0</v>
      </c>
      <c r="S41" s="401">
        <f>R41+Q41</f>
        <v>0</v>
      </c>
      <c r="T41" s="401">
        <v>0</v>
      </c>
      <c r="U41" s="401">
        <f t="shared" si="45"/>
        <v>0</v>
      </c>
      <c r="V41" s="260"/>
      <c r="W41" s="554">
        <v>0</v>
      </c>
      <c r="X41" s="187">
        <v>0</v>
      </c>
      <c r="Y41" s="452"/>
      <c r="Z41" s="452">
        <f>Y41+W41</f>
        <v>0</v>
      </c>
      <c r="AA41" s="452"/>
      <c r="AB41" s="452">
        <v>0</v>
      </c>
      <c r="AC41" s="452">
        <f t="shared" si="47"/>
        <v>0</v>
      </c>
    </row>
    <row r="42" spans="1:29" ht="15.75" customHeight="1" thickBot="1" x14ac:dyDescent="0.3">
      <c r="A42" s="29" t="s">
        <v>11</v>
      </c>
      <c r="B42" s="30" t="s">
        <v>117</v>
      </c>
      <c r="C42" s="31" t="s">
        <v>63</v>
      </c>
      <c r="D42" s="324">
        <v>372079350</v>
      </c>
      <c r="E42" s="262"/>
      <c r="F42" s="546">
        <v>600000000</v>
      </c>
      <c r="G42" s="452"/>
      <c r="H42" s="452"/>
      <c r="I42" s="401">
        <f>H42+F42</f>
        <v>600000000</v>
      </c>
      <c r="J42" s="401">
        <v>540000000</v>
      </c>
      <c r="K42" s="431">
        <f>J42-F42</f>
        <v>-60000000</v>
      </c>
      <c r="L42" s="431">
        <f t="shared" si="42"/>
        <v>-60000000</v>
      </c>
      <c r="M42" s="401">
        <f t="shared" si="43"/>
        <v>167920650</v>
      </c>
      <c r="N42" s="260"/>
      <c r="O42" s="546">
        <v>600000000</v>
      </c>
      <c r="P42" s="452"/>
      <c r="Q42" s="452"/>
      <c r="R42" s="401">
        <f>Q42+O42</f>
        <v>600000000</v>
      </c>
      <c r="S42" s="401">
        <v>540000000</v>
      </c>
      <c r="T42" s="431">
        <f>S42-O42</f>
        <v>-60000000</v>
      </c>
      <c r="U42" s="431">
        <f t="shared" si="45"/>
        <v>-60000000</v>
      </c>
      <c r="V42" s="260"/>
      <c r="W42" s="554">
        <v>600000000</v>
      </c>
      <c r="X42" s="187"/>
      <c r="Y42" s="452"/>
      <c r="Z42" s="452">
        <f>Y42+W42</f>
        <v>600000000</v>
      </c>
      <c r="AA42" s="401">
        <v>540000000</v>
      </c>
      <c r="AB42" s="449">
        <f>AA42-W42</f>
        <v>-60000000</v>
      </c>
      <c r="AC42" s="449">
        <f t="shared" si="47"/>
        <v>-60000000</v>
      </c>
    </row>
    <row r="43" spans="1:29" ht="15.75" customHeight="1" thickBot="1" x14ac:dyDescent="0.3">
      <c r="A43" s="65" t="s">
        <v>11</v>
      </c>
      <c r="B43" s="58"/>
      <c r="C43" s="59" t="s">
        <v>0</v>
      </c>
      <c r="D43" s="60">
        <f t="shared" ref="D43:Z43" si="48">SUM(D41:D42)</f>
        <v>600000000</v>
      </c>
      <c r="E43" s="255"/>
      <c r="F43" s="249">
        <f t="shared" si="48"/>
        <v>600000000</v>
      </c>
      <c r="G43" s="249">
        <f t="shared" si="48"/>
        <v>0</v>
      </c>
      <c r="H43" s="249">
        <f>SUM(H41:H42)</f>
        <v>0</v>
      </c>
      <c r="I43" s="249">
        <f t="shared" ref="I43:J43" si="49">SUM(I41:I42)</f>
        <v>600000000</v>
      </c>
      <c r="J43" s="249">
        <f t="shared" si="49"/>
        <v>540000000</v>
      </c>
      <c r="K43" s="378">
        <f>J43-F43</f>
        <v>-60000000</v>
      </c>
      <c r="L43" s="378">
        <f t="shared" si="42"/>
        <v>-60000000</v>
      </c>
      <c r="M43" s="378">
        <f t="shared" si="43"/>
        <v>-60000000</v>
      </c>
      <c r="N43" s="255"/>
      <c r="O43" s="249">
        <f t="shared" si="48"/>
        <v>600000000</v>
      </c>
      <c r="P43" s="249">
        <f t="shared" si="48"/>
        <v>0</v>
      </c>
      <c r="Q43" s="249">
        <f t="shared" si="48"/>
        <v>0</v>
      </c>
      <c r="R43" s="249">
        <f t="shared" si="48"/>
        <v>600000000</v>
      </c>
      <c r="S43" s="249">
        <f t="shared" ref="S43" si="50">SUM(S41:S42)</f>
        <v>540000000</v>
      </c>
      <c r="T43" s="378">
        <f>S43-O43</f>
        <v>-60000000</v>
      </c>
      <c r="U43" s="378">
        <f t="shared" si="45"/>
        <v>-60000000</v>
      </c>
      <c r="V43" s="255"/>
      <c r="W43" s="249">
        <f t="shared" si="48"/>
        <v>600000000</v>
      </c>
      <c r="X43" s="249">
        <f t="shared" si="48"/>
        <v>0</v>
      </c>
      <c r="Y43" s="249">
        <f t="shared" si="48"/>
        <v>0</v>
      </c>
      <c r="Z43" s="249">
        <f t="shared" si="48"/>
        <v>600000000</v>
      </c>
      <c r="AA43" s="249">
        <f t="shared" ref="AA43" si="51">SUM(AA41:AA42)</f>
        <v>540000000</v>
      </c>
      <c r="AB43" s="398">
        <f>AA43-W43</f>
        <v>-60000000</v>
      </c>
      <c r="AC43" s="398">
        <f t="shared" si="47"/>
        <v>-60000000</v>
      </c>
    </row>
    <row r="44" spans="1:29" ht="15.75" customHeight="1" x14ac:dyDescent="0.25">
      <c r="A44" s="77" t="s">
        <v>7</v>
      </c>
      <c r="B44" s="78" t="s">
        <v>8</v>
      </c>
      <c r="C44" s="164" t="s">
        <v>86</v>
      </c>
      <c r="D44" s="327">
        <v>1048777200</v>
      </c>
      <c r="E44" s="263"/>
      <c r="F44" s="545">
        <v>1048777200</v>
      </c>
      <c r="G44" s="429">
        <v>116530800</v>
      </c>
      <c r="H44" s="429"/>
      <c r="I44" s="394">
        <f t="shared" ref="I44:I54" si="52">H44+F44</f>
        <v>1048777200</v>
      </c>
      <c r="J44" s="429">
        <v>1048777200</v>
      </c>
      <c r="K44" s="394">
        <f>J44-F44</f>
        <v>0</v>
      </c>
      <c r="L44" s="394">
        <f t="shared" si="42"/>
        <v>0</v>
      </c>
      <c r="M44" s="394">
        <f t="shared" si="43"/>
        <v>0</v>
      </c>
      <c r="N44" s="263"/>
      <c r="O44" s="545">
        <v>1048777200</v>
      </c>
      <c r="P44" s="429">
        <v>163143120</v>
      </c>
      <c r="Q44" s="429"/>
      <c r="R44" s="429">
        <f t="shared" ref="R44:R54" si="53">Q44+O44</f>
        <v>1048777200</v>
      </c>
      <c r="S44" s="429">
        <v>0</v>
      </c>
      <c r="T44" s="376">
        <f>S44-O44</f>
        <v>-1048777200</v>
      </c>
      <c r="U44" s="376">
        <f t="shared" si="45"/>
        <v>-1048777200</v>
      </c>
      <c r="V44" s="263"/>
      <c r="W44" s="545">
        <v>1048777200</v>
      </c>
      <c r="X44" s="429">
        <v>211619933</v>
      </c>
      <c r="Y44" s="429"/>
      <c r="Z44" s="429">
        <f t="shared" ref="Z44:Z54" si="54">Y44+W44</f>
        <v>1048777200</v>
      </c>
      <c r="AA44" s="429">
        <v>0</v>
      </c>
      <c r="AB44" s="414">
        <f>AA44-W44</f>
        <v>-1048777200</v>
      </c>
      <c r="AC44" s="414">
        <f t="shared" si="47"/>
        <v>-1048777200</v>
      </c>
    </row>
    <row r="45" spans="1:29" ht="15.75" customHeight="1" x14ac:dyDescent="0.25">
      <c r="A45" s="22" t="s">
        <v>7</v>
      </c>
      <c r="B45" s="79" t="s">
        <v>30</v>
      </c>
      <c r="C45" s="165" t="s">
        <v>87</v>
      </c>
      <c r="D45" s="328">
        <v>1866958667</v>
      </c>
      <c r="E45" s="237"/>
      <c r="F45" s="554">
        <v>1866958667</v>
      </c>
      <c r="G45" s="187">
        <v>363923333</v>
      </c>
      <c r="H45" s="187"/>
      <c r="I45" s="395">
        <f t="shared" si="52"/>
        <v>1866958667</v>
      </c>
      <c r="J45" s="395">
        <v>1766443010</v>
      </c>
      <c r="K45" s="374">
        <f>J45-F45</f>
        <v>-100515657</v>
      </c>
      <c r="L45" s="374">
        <f t="shared" si="42"/>
        <v>-100515657</v>
      </c>
      <c r="M45" s="374">
        <f t="shared" si="43"/>
        <v>-100515657</v>
      </c>
      <c r="N45" s="237"/>
      <c r="O45" s="554">
        <v>1866958667</v>
      </c>
      <c r="P45" s="187">
        <v>1946892333</v>
      </c>
      <c r="Q45" s="187">
        <v>500000000</v>
      </c>
      <c r="R45" s="187">
        <f t="shared" si="53"/>
        <v>2366958667</v>
      </c>
      <c r="S45" s="187">
        <v>1766443010</v>
      </c>
      <c r="T45" s="374">
        <f>S45-O45</f>
        <v>-100515657</v>
      </c>
      <c r="U45" s="374">
        <f t="shared" si="45"/>
        <v>-600515657</v>
      </c>
      <c r="V45" s="237"/>
      <c r="W45" s="554">
        <v>1866958667</v>
      </c>
      <c r="X45" s="187">
        <v>2087835333</v>
      </c>
      <c r="Y45" s="187">
        <v>500000000</v>
      </c>
      <c r="Z45" s="187">
        <f t="shared" si="54"/>
        <v>2366958667</v>
      </c>
      <c r="AA45" s="187">
        <v>1766443010</v>
      </c>
      <c r="AB45" s="374">
        <f>AA45-W45</f>
        <v>-100515657</v>
      </c>
      <c r="AC45" s="374">
        <f t="shared" si="47"/>
        <v>-600515657</v>
      </c>
    </row>
    <row r="46" spans="1:29" ht="15.75" customHeight="1" x14ac:dyDescent="0.25">
      <c r="A46" s="22" t="s">
        <v>7</v>
      </c>
      <c r="B46" s="79" t="s">
        <v>9</v>
      </c>
      <c r="C46" s="165" t="s">
        <v>121</v>
      </c>
      <c r="D46" s="328">
        <v>316509293</v>
      </c>
      <c r="E46" s="237"/>
      <c r="F46" s="554">
        <v>316509293</v>
      </c>
      <c r="G46" s="187"/>
      <c r="H46" s="187"/>
      <c r="I46" s="395">
        <f t="shared" si="52"/>
        <v>316509293</v>
      </c>
      <c r="J46" s="395">
        <v>316509293</v>
      </c>
      <c r="K46" s="187">
        <f t="shared" ref="K46:K54" si="55">J46-F46</f>
        <v>0</v>
      </c>
      <c r="L46" s="374">
        <f t="shared" ref="L46:L54" si="56">J46-I46</f>
        <v>0</v>
      </c>
      <c r="M46" s="187">
        <f t="shared" ref="M46:M54" si="57">J46-D46</f>
        <v>0</v>
      </c>
      <c r="N46" s="237"/>
      <c r="O46" s="554">
        <v>316509293</v>
      </c>
      <c r="P46" s="187"/>
      <c r="Q46" s="187"/>
      <c r="R46" s="187">
        <f t="shared" si="53"/>
        <v>316509293</v>
      </c>
      <c r="S46" s="187">
        <v>316509293</v>
      </c>
      <c r="T46" s="187">
        <f t="shared" ref="T46:T54" si="58">S46-O46</f>
        <v>0</v>
      </c>
      <c r="U46" s="374">
        <f t="shared" ref="U46:U54" si="59">S46-R46</f>
        <v>0</v>
      </c>
      <c r="V46" s="237"/>
      <c r="W46" s="554">
        <v>316509293</v>
      </c>
      <c r="X46" s="187"/>
      <c r="Y46" s="187"/>
      <c r="Z46" s="187">
        <f t="shared" si="54"/>
        <v>316509293</v>
      </c>
      <c r="AA46" s="187">
        <v>316509293</v>
      </c>
      <c r="AB46" s="187">
        <f t="shared" ref="AB46:AB54" si="60">AA46-W46</f>
        <v>0</v>
      </c>
      <c r="AC46" s="187">
        <f t="shared" ref="AC46:AC54" si="61">AA46-Z46</f>
        <v>0</v>
      </c>
    </row>
    <row r="47" spans="1:29" ht="15.75" customHeight="1" x14ac:dyDescent="0.25">
      <c r="A47" s="22" t="s">
        <v>7</v>
      </c>
      <c r="B47" s="79" t="s">
        <v>31</v>
      </c>
      <c r="C47" s="165" t="s">
        <v>45</v>
      </c>
      <c r="D47" s="328">
        <v>0</v>
      </c>
      <c r="E47" s="237"/>
      <c r="F47" s="554">
        <v>0</v>
      </c>
      <c r="G47" s="187"/>
      <c r="H47" s="187"/>
      <c r="I47" s="395">
        <f t="shared" si="52"/>
        <v>0</v>
      </c>
      <c r="J47" s="395">
        <v>0</v>
      </c>
      <c r="K47" s="187">
        <f t="shared" si="55"/>
        <v>0</v>
      </c>
      <c r="L47" s="374">
        <f t="shared" si="56"/>
        <v>0</v>
      </c>
      <c r="M47" s="187">
        <f t="shared" si="57"/>
        <v>0</v>
      </c>
      <c r="N47" s="237"/>
      <c r="O47" s="554">
        <v>0</v>
      </c>
      <c r="P47" s="187"/>
      <c r="Q47" s="187"/>
      <c r="R47" s="187">
        <f t="shared" si="53"/>
        <v>0</v>
      </c>
      <c r="S47" s="187">
        <v>0</v>
      </c>
      <c r="T47" s="187">
        <f t="shared" si="58"/>
        <v>0</v>
      </c>
      <c r="U47" s="374">
        <f t="shared" si="59"/>
        <v>0</v>
      </c>
      <c r="V47" s="237"/>
      <c r="W47" s="554">
        <v>0</v>
      </c>
      <c r="X47" s="187"/>
      <c r="Y47" s="187"/>
      <c r="Z47" s="187">
        <f t="shared" si="54"/>
        <v>0</v>
      </c>
      <c r="AA47" s="187">
        <v>0</v>
      </c>
      <c r="AB47" s="187">
        <f t="shared" si="60"/>
        <v>0</v>
      </c>
      <c r="AC47" s="187">
        <f t="shared" si="61"/>
        <v>0</v>
      </c>
    </row>
    <row r="48" spans="1:29" ht="15.75" customHeight="1" x14ac:dyDescent="0.25">
      <c r="A48" s="26" t="s">
        <v>7</v>
      </c>
      <c r="B48" s="27" t="s">
        <v>70</v>
      </c>
      <c r="C48" s="166" t="s">
        <v>74</v>
      </c>
      <c r="D48" s="328">
        <v>652337350</v>
      </c>
      <c r="E48" s="237"/>
      <c r="F48" s="554">
        <v>652337350</v>
      </c>
      <c r="G48" s="187">
        <v>54662650</v>
      </c>
      <c r="H48" s="187">
        <v>45000000</v>
      </c>
      <c r="I48" s="395">
        <f t="shared" si="52"/>
        <v>697337350</v>
      </c>
      <c r="J48" s="395">
        <v>612337350</v>
      </c>
      <c r="K48" s="374">
        <f t="shared" si="55"/>
        <v>-40000000</v>
      </c>
      <c r="L48" s="374">
        <f t="shared" si="56"/>
        <v>-85000000</v>
      </c>
      <c r="M48" s="374">
        <f t="shared" si="57"/>
        <v>-40000000</v>
      </c>
      <c r="N48" s="237"/>
      <c r="O48" s="554">
        <v>652337350</v>
      </c>
      <c r="P48" s="374">
        <v>-41337350</v>
      </c>
      <c r="Q48" s="374">
        <v>-41337350</v>
      </c>
      <c r="R48" s="187">
        <f t="shared" si="53"/>
        <v>611000000</v>
      </c>
      <c r="S48" s="187">
        <v>611000000</v>
      </c>
      <c r="T48" s="374">
        <f t="shared" si="58"/>
        <v>-41337350</v>
      </c>
      <c r="U48" s="374">
        <f t="shared" si="59"/>
        <v>0</v>
      </c>
      <c r="V48" s="284"/>
      <c r="W48" s="554">
        <v>652337350</v>
      </c>
      <c r="X48" s="374">
        <v>-237337350</v>
      </c>
      <c r="Y48" s="374">
        <v>-237337350</v>
      </c>
      <c r="Z48" s="187">
        <f t="shared" si="54"/>
        <v>415000000</v>
      </c>
      <c r="AA48" s="187">
        <v>415000000</v>
      </c>
      <c r="AB48" s="374">
        <f t="shared" si="60"/>
        <v>-237337350</v>
      </c>
      <c r="AC48" s="187">
        <f t="shared" si="61"/>
        <v>0</v>
      </c>
    </row>
    <row r="49" spans="1:29" s="133" customFormat="1" ht="15.75" customHeight="1" x14ac:dyDescent="0.25">
      <c r="A49" s="26" t="s">
        <v>7</v>
      </c>
      <c r="B49" s="27"/>
      <c r="C49" s="166" t="s">
        <v>151</v>
      </c>
      <c r="D49" s="325">
        <v>0</v>
      </c>
      <c r="E49" s="260"/>
      <c r="F49" s="546">
        <v>0</v>
      </c>
      <c r="G49" s="452">
        <v>0</v>
      </c>
      <c r="H49" s="452">
        <v>0</v>
      </c>
      <c r="I49" s="395">
        <f t="shared" si="52"/>
        <v>0</v>
      </c>
      <c r="J49" s="395">
        <v>0</v>
      </c>
      <c r="K49" s="187">
        <f t="shared" si="55"/>
        <v>0</v>
      </c>
      <c r="L49" s="374">
        <f t="shared" si="56"/>
        <v>0</v>
      </c>
      <c r="M49" s="187">
        <f t="shared" si="57"/>
        <v>0</v>
      </c>
      <c r="N49" s="260"/>
      <c r="O49" s="546">
        <v>0</v>
      </c>
      <c r="P49" s="452">
        <v>172500000</v>
      </c>
      <c r="Q49" s="452">
        <v>51000000</v>
      </c>
      <c r="R49" s="187">
        <f t="shared" si="53"/>
        <v>51000000</v>
      </c>
      <c r="S49" s="187">
        <v>0</v>
      </c>
      <c r="T49" s="187">
        <f t="shared" si="58"/>
        <v>0</v>
      </c>
      <c r="U49" s="374">
        <f t="shared" si="59"/>
        <v>-51000000</v>
      </c>
      <c r="V49" s="260"/>
      <c r="W49" s="546">
        <v>0</v>
      </c>
      <c r="X49" s="452">
        <v>477250000</v>
      </c>
      <c r="Y49" s="452">
        <v>237000000</v>
      </c>
      <c r="Z49" s="187">
        <f t="shared" si="54"/>
        <v>237000000</v>
      </c>
      <c r="AA49" s="187">
        <v>410000000</v>
      </c>
      <c r="AB49" s="187">
        <f t="shared" si="60"/>
        <v>410000000</v>
      </c>
      <c r="AC49" s="374">
        <f t="shared" si="61"/>
        <v>173000000</v>
      </c>
    </row>
    <row r="50" spans="1:29" s="133" customFormat="1" ht="15.75" customHeight="1" x14ac:dyDescent="0.25">
      <c r="A50" s="26" t="s">
        <v>7</v>
      </c>
      <c r="B50" s="27"/>
      <c r="C50" s="166" t="s">
        <v>197</v>
      </c>
      <c r="D50" s="325">
        <v>0</v>
      </c>
      <c r="E50" s="260"/>
      <c r="F50" s="546">
        <v>0</v>
      </c>
      <c r="G50" s="452">
        <v>397500000</v>
      </c>
      <c r="H50" s="452">
        <v>249000000</v>
      </c>
      <c r="I50" s="395">
        <f t="shared" si="52"/>
        <v>249000000</v>
      </c>
      <c r="J50" s="395">
        <v>98643959</v>
      </c>
      <c r="K50" s="187">
        <f t="shared" si="55"/>
        <v>98643959</v>
      </c>
      <c r="L50" s="374">
        <f t="shared" si="56"/>
        <v>-150356041</v>
      </c>
      <c r="M50" s="187">
        <f t="shared" si="57"/>
        <v>98643959</v>
      </c>
      <c r="N50" s="260"/>
      <c r="O50" s="546">
        <v>0</v>
      </c>
      <c r="P50" s="452">
        <v>500000000</v>
      </c>
      <c r="Q50" s="452">
        <v>300000000</v>
      </c>
      <c r="R50" s="187">
        <f t="shared" si="53"/>
        <v>300000000</v>
      </c>
      <c r="S50" s="187">
        <v>215703027</v>
      </c>
      <c r="T50" s="187">
        <f t="shared" si="58"/>
        <v>215703027</v>
      </c>
      <c r="U50" s="374">
        <f t="shared" si="59"/>
        <v>-84296973</v>
      </c>
      <c r="V50" s="260"/>
      <c r="W50" s="546">
        <v>0</v>
      </c>
      <c r="X50" s="452">
        <v>500000000</v>
      </c>
      <c r="Y50" s="452">
        <v>350000000</v>
      </c>
      <c r="Z50" s="187">
        <f t="shared" si="54"/>
        <v>350000000</v>
      </c>
      <c r="AA50" s="187">
        <v>215703027</v>
      </c>
      <c r="AB50" s="187">
        <f t="shared" si="60"/>
        <v>215703027</v>
      </c>
      <c r="AC50" s="374">
        <f t="shared" si="61"/>
        <v>-134296973</v>
      </c>
    </row>
    <row r="51" spans="1:29" s="133" customFormat="1" ht="15.75" customHeight="1" x14ac:dyDescent="0.25">
      <c r="A51" s="22" t="s">
        <v>7</v>
      </c>
      <c r="B51" s="79"/>
      <c r="C51" s="165" t="s">
        <v>148</v>
      </c>
      <c r="D51" s="325">
        <v>0</v>
      </c>
      <c r="E51" s="260"/>
      <c r="F51" s="546">
        <v>0</v>
      </c>
      <c r="G51" s="452">
        <v>0</v>
      </c>
      <c r="H51" s="452"/>
      <c r="I51" s="395">
        <f t="shared" si="52"/>
        <v>0</v>
      </c>
      <c r="J51" s="395">
        <v>0</v>
      </c>
      <c r="K51" s="187">
        <f t="shared" si="55"/>
        <v>0</v>
      </c>
      <c r="L51" s="374">
        <f t="shared" si="56"/>
        <v>0</v>
      </c>
      <c r="M51" s="187">
        <f t="shared" si="57"/>
        <v>0</v>
      </c>
      <c r="N51" s="260"/>
      <c r="O51" s="546">
        <v>0</v>
      </c>
      <c r="P51" s="452">
        <v>900000000</v>
      </c>
      <c r="Q51" s="452">
        <v>700000000</v>
      </c>
      <c r="R51" s="187">
        <f t="shared" si="53"/>
        <v>700000000</v>
      </c>
      <c r="S51" s="187">
        <v>0</v>
      </c>
      <c r="T51" s="187">
        <f t="shared" si="58"/>
        <v>0</v>
      </c>
      <c r="U51" s="374">
        <f t="shared" si="59"/>
        <v>-700000000</v>
      </c>
      <c r="V51" s="260"/>
      <c r="W51" s="546">
        <v>0</v>
      </c>
      <c r="X51" s="452">
        <v>900000000</v>
      </c>
      <c r="Y51" s="452">
        <v>700000000</v>
      </c>
      <c r="Z51" s="187">
        <f t="shared" si="54"/>
        <v>700000000</v>
      </c>
      <c r="AA51" s="187">
        <v>215274816</v>
      </c>
      <c r="AB51" s="187">
        <f t="shared" si="60"/>
        <v>215274816</v>
      </c>
      <c r="AC51" s="374">
        <f t="shared" si="61"/>
        <v>-484725184</v>
      </c>
    </row>
    <row r="52" spans="1:29" ht="15.75" customHeight="1" x14ac:dyDescent="0.25">
      <c r="A52" s="22" t="s">
        <v>7</v>
      </c>
      <c r="B52" s="79" t="s">
        <v>153</v>
      </c>
      <c r="C52" s="176" t="s">
        <v>149</v>
      </c>
      <c r="D52" s="328">
        <v>493524490</v>
      </c>
      <c r="E52" s="237"/>
      <c r="F52" s="554">
        <v>493524490</v>
      </c>
      <c r="G52" s="187">
        <v>70354510</v>
      </c>
      <c r="H52" s="187">
        <v>64000000</v>
      </c>
      <c r="I52" s="395">
        <f t="shared" si="52"/>
        <v>557524490</v>
      </c>
      <c r="J52" s="395">
        <v>557524490</v>
      </c>
      <c r="K52" s="187">
        <f t="shared" si="55"/>
        <v>64000000</v>
      </c>
      <c r="L52" s="374">
        <f t="shared" si="56"/>
        <v>0</v>
      </c>
      <c r="M52" s="187">
        <f t="shared" si="57"/>
        <v>64000000</v>
      </c>
      <c r="N52" s="237"/>
      <c r="O52" s="554">
        <v>493524490</v>
      </c>
      <c r="P52" s="187">
        <v>71829510</v>
      </c>
      <c r="Q52" s="580">
        <v>70000000</v>
      </c>
      <c r="R52" s="187">
        <f t="shared" si="53"/>
        <v>563524490</v>
      </c>
      <c r="S52" s="187">
        <v>557524490</v>
      </c>
      <c r="T52" s="187">
        <f t="shared" si="58"/>
        <v>64000000</v>
      </c>
      <c r="U52" s="374">
        <f t="shared" si="59"/>
        <v>-6000000</v>
      </c>
      <c r="V52" s="237"/>
      <c r="W52" s="554">
        <v>493524490</v>
      </c>
      <c r="X52" s="374">
        <v>-493524490</v>
      </c>
      <c r="Y52" s="374">
        <v>-493524490</v>
      </c>
      <c r="Z52" s="187">
        <f t="shared" si="54"/>
        <v>0</v>
      </c>
      <c r="AA52" s="187">
        <v>0</v>
      </c>
      <c r="AB52" s="374">
        <f t="shared" si="60"/>
        <v>-493524490</v>
      </c>
      <c r="AC52" s="187">
        <f t="shared" si="61"/>
        <v>0</v>
      </c>
    </row>
    <row r="53" spans="1:29" s="133" customFormat="1" ht="15.75" customHeight="1" x14ac:dyDescent="0.25">
      <c r="A53" s="22" t="s">
        <v>7</v>
      </c>
      <c r="B53" s="79"/>
      <c r="C53" s="176" t="s">
        <v>152</v>
      </c>
      <c r="D53" s="329">
        <v>0</v>
      </c>
      <c r="E53" s="341"/>
      <c r="F53" s="555">
        <v>0</v>
      </c>
      <c r="G53" s="556"/>
      <c r="H53" s="556"/>
      <c r="I53" s="395">
        <f t="shared" si="52"/>
        <v>0</v>
      </c>
      <c r="J53" s="395">
        <v>0</v>
      </c>
      <c r="K53" s="187">
        <f t="shared" si="55"/>
        <v>0</v>
      </c>
      <c r="L53" s="374">
        <f t="shared" si="56"/>
        <v>0</v>
      </c>
      <c r="M53" s="187">
        <f t="shared" si="57"/>
        <v>0</v>
      </c>
      <c r="N53" s="341"/>
      <c r="O53" s="555">
        <v>0</v>
      </c>
      <c r="P53" s="556"/>
      <c r="Q53" s="556"/>
      <c r="R53" s="187">
        <f t="shared" si="53"/>
        <v>0</v>
      </c>
      <c r="S53" s="187">
        <v>0</v>
      </c>
      <c r="T53" s="187">
        <f t="shared" si="58"/>
        <v>0</v>
      </c>
      <c r="U53" s="374">
        <f t="shared" si="59"/>
        <v>0</v>
      </c>
      <c r="V53" s="341"/>
      <c r="W53" s="555">
        <v>0</v>
      </c>
      <c r="X53" s="556">
        <v>617500000</v>
      </c>
      <c r="Y53" s="556">
        <v>563524490</v>
      </c>
      <c r="Z53" s="187">
        <f t="shared" si="54"/>
        <v>563524490</v>
      </c>
      <c r="AA53" s="187">
        <v>557524490</v>
      </c>
      <c r="AB53" s="187">
        <f t="shared" si="60"/>
        <v>557524490</v>
      </c>
      <c r="AC53" s="374">
        <f t="shared" si="61"/>
        <v>-6000000</v>
      </c>
    </row>
    <row r="54" spans="1:29" ht="15.75" customHeight="1" thickBot="1" x14ac:dyDescent="0.3">
      <c r="A54" s="26" t="s">
        <v>7</v>
      </c>
      <c r="B54" s="218"/>
      <c r="C54" s="175" t="s">
        <v>150</v>
      </c>
      <c r="D54" s="330">
        <v>45046457</v>
      </c>
      <c r="E54" s="264"/>
      <c r="F54" s="557">
        <v>45046457</v>
      </c>
      <c r="G54" s="446">
        <v>1356041</v>
      </c>
      <c r="H54" s="446">
        <v>1356041</v>
      </c>
      <c r="I54" s="395">
        <f t="shared" si="52"/>
        <v>46402498</v>
      </c>
      <c r="J54" s="395">
        <v>46402498</v>
      </c>
      <c r="K54" s="187">
        <f t="shared" si="55"/>
        <v>1356041</v>
      </c>
      <c r="L54" s="374">
        <f t="shared" si="56"/>
        <v>0</v>
      </c>
      <c r="M54" s="187">
        <f t="shared" si="57"/>
        <v>1356041</v>
      </c>
      <c r="N54" s="264"/>
      <c r="O54" s="557">
        <v>45046457</v>
      </c>
      <c r="P54" s="446">
        <v>3188988</v>
      </c>
      <c r="Q54" s="581">
        <v>3000000</v>
      </c>
      <c r="R54" s="549">
        <f t="shared" si="53"/>
        <v>48046457</v>
      </c>
      <c r="S54" s="549">
        <v>48501916</v>
      </c>
      <c r="T54" s="187">
        <f t="shared" si="58"/>
        <v>3455459</v>
      </c>
      <c r="U54" s="374">
        <f t="shared" si="59"/>
        <v>455459</v>
      </c>
      <c r="V54" s="264"/>
      <c r="W54" s="557">
        <v>45046457</v>
      </c>
      <c r="X54" s="446">
        <v>4180642</v>
      </c>
      <c r="Y54" s="581">
        <v>4000000</v>
      </c>
      <c r="Z54" s="187">
        <f t="shared" si="54"/>
        <v>49046457</v>
      </c>
      <c r="AA54" s="187">
        <v>49227100</v>
      </c>
      <c r="AB54" s="187">
        <f t="shared" si="60"/>
        <v>4180643</v>
      </c>
      <c r="AC54" s="187">
        <f t="shared" si="61"/>
        <v>180643</v>
      </c>
    </row>
    <row r="55" spans="1:29" ht="15.75" customHeight="1" thickBot="1" x14ac:dyDescent="0.3">
      <c r="A55" s="65" t="s">
        <v>7</v>
      </c>
      <c r="B55" s="58"/>
      <c r="C55" s="59" t="s">
        <v>0</v>
      </c>
      <c r="D55" s="60">
        <f t="shared" ref="D55:Z55" si="62">SUM(D44:D54)</f>
        <v>4423153457</v>
      </c>
      <c r="E55" s="255"/>
      <c r="F55" s="249">
        <f t="shared" si="62"/>
        <v>4423153457</v>
      </c>
      <c r="G55" s="249">
        <f t="shared" si="62"/>
        <v>1004327334</v>
      </c>
      <c r="H55" s="249">
        <f>SUM(H44:H54)</f>
        <v>359356041</v>
      </c>
      <c r="I55" s="249">
        <f>SUM(I44:I54)</f>
        <v>4782509498</v>
      </c>
      <c r="J55" s="249">
        <f>SUM(J44:J54)</f>
        <v>4446637800</v>
      </c>
      <c r="K55" s="249">
        <f t="shared" ref="K55:K61" si="63">J55-F55</f>
        <v>23484343</v>
      </c>
      <c r="L55" s="378">
        <f>J55-I55</f>
        <v>-335871698</v>
      </c>
      <c r="M55" s="249">
        <f>J55-D55</f>
        <v>23484343</v>
      </c>
      <c r="N55" s="255"/>
      <c r="O55" s="249">
        <f t="shared" si="62"/>
        <v>4423153457</v>
      </c>
      <c r="P55" s="249">
        <f t="shared" si="62"/>
        <v>3716216601</v>
      </c>
      <c r="Q55" s="249">
        <f t="shared" si="62"/>
        <v>1582662650</v>
      </c>
      <c r="R55" s="249">
        <f t="shared" si="62"/>
        <v>6005816107</v>
      </c>
      <c r="S55" s="287">
        <v>4346637800</v>
      </c>
      <c r="T55" s="378">
        <f t="shared" ref="T55:T61" si="64">S55-O55</f>
        <v>-76515657</v>
      </c>
      <c r="U55" s="378">
        <f>S55-R55</f>
        <v>-1659178307</v>
      </c>
      <c r="V55" s="255"/>
      <c r="W55" s="249">
        <f t="shared" si="62"/>
        <v>4423153457</v>
      </c>
      <c r="X55" s="249">
        <f t="shared" si="62"/>
        <v>4067524068</v>
      </c>
      <c r="Y55" s="249">
        <f t="shared" si="62"/>
        <v>1623662650</v>
      </c>
      <c r="Z55" s="249">
        <f t="shared" si="62"/>
        <v>6046816107</v>
      </c>
      <c r="AA55" s="287">
        <v>4346637800</v>
      </c>
      <c r="AB55" s="398">
        <f t="shared" ref="AB55:AB61" si="65">AA55-W55</f>
        <v>-76515657</v>
      </c>
      <c r="AC55" s="398">
        <f t="shared" ref="AC55:AC61" si="66">AA55-Z55</f>
        <v>-1700178307</v>
      </c>
    </row>
    <row r="56" spans="1:29" ht="15.75" customHeight="1" thickBot="1" x14ac:dyDescent="0.3">
      <c r="A56" s="95" t="s">
        <v>4</v>
      </c>
      <c r="B56" s="85" t="s">
        <v>71</v>
      </c>
      <c r="C56" s="69" t="s">
        <v>46</v>
      </c>
      <c r="D56" s="331">
        <v>342760000</v>
      </c>
      <c r="E56" s="265"/>
      <c r="F56" s="558">
        <v>342760000</v>
      </c>
      <c r="G56" s="453"/>
      <c r="H56" s="453"/>
      <c r="I56" s="432">
        <f>F56+H56</f>
        <v>342760000</v>
      </c>
      <c r="J56" s="432">
        <v>342760000</v>
      </c>
      <c r="K56" s="432">
        <f t="shared" si="63"/>
        <v>0</v>
      </c>
      <c r="L56" s="432">
        <f>J56-I56</f>
        <v>0</v>
      </c>
      <c r="M56" s="432">
        <v>0</v>
      </c>
      <c r="N56" s="265"/>
      <c r="O56" s="558">
        <v>342760000</v>
      </c>
      <c r="P56" s="453"/>
      <c r="Q56" s="453"/>
      <c r="R56" s="432">
        <f>Q56+O56</f>
        <v>342760000</v>
      </c>
      <c r="S56" s="432">
        <v>342760000</v>
      </c>
      <c r="T56" s="432">
        <f t="shared" si="64"/>
        <v>0</v>
      </c>
      <c r="U56" s="432">
        <f>S56-R56</f>
        <v>0</v>
      </c>
      <c r="V56" s="265"/>
      <c r="W56" s="558">
        <v>342760000</v>
      </c>
      <c r="X56" s="453">
        <v>27240000</v>
      </c>
      <c r="Y56" s="453">
        <v>27240000</v>
      </c>
      <c r="Z56" s="453">
        <f>Y56+W56</f>
        <v>370000000</v>
      </c>
      <c r="AA56" s="453">
        <v>342760000</v>
      </c>
      <c r="AB56" s="453">
        <f t="shared" si="65"/>
        <v>0</v>
      </c>
      <c r="AC56" s="476">
        <f t="shared" si="66"/>
        <v>-27240000</v>
      </c>
    </row>
    <row r="57" spans="1:29" ht="15.75" customHeight="1" thickBot="1" x14ac:dyDescent="0.3">
      <c r="A57" s="65" t="s">
        <v>4</v>
      </c>
      <c r="B57" s="58"/>
      <c r="C57" s="59" t="s">
        <v>0</v>
      </c>
      <c r="D57" s="60">
        <f t="shared" ref="D57:Z57" si="67">SUM(D56:D56)</f>
        <v>342760000</v>
      </c>
      <c r="E57" s="255"/>
      <c r="F57" s="249">
        <f t="shared" si="67"/>
        <v>342760000</v>
      </c>
      <c r="G57" s="249">
        <f t="shared" si="67"/>
        <v>0</v>
      </c>
      <c r="H57" s="249">
        <f>SUM(H56:H56)</f>
        <v>0</v>
      </c>
      <c r="I57" s="249">
        <f t="shared" ref="I57:J57" si="68">SUM(I56:I56)</f>
        <v>342760000</v>
      </c>
      <c r="J57" s="249">
        <f t="shared" si="68"/>
        <v>342760000</v>
      </c>
      <c r="K57" s="249">
        <f t="shared" si="63"/>
        <v>0</v>
      </c>
      <c r="L57" s="249">
        <f>J57-I57</f>
        <v>0</v>
      </c>
      <c r="M57" s="249">
        <f>J57-D57</f>
        <v>0</v>
      </c>
      <c r="N57" s="255"/>
      <c r="O57" s="249">
        <f t="shared" si="67"/>
        <v>342760000</v>
      </c>
      <c r="P57" s="249">
        <f t="shared" si="67"/>
        <v>0</v>
      </c>
      <c r="Q57" s="249">
        <f t="shared" si="67"/>
        <v>0</v>
      </c>
      <c r="R57" s="249">
        <f t="shared" si="67"/>
        <v>342760000</v>
      </c>
      <c r="S57" s="249">
        <f t="shared" ref="S57" si="69">SUM(S56:S56)</f>
        <v>342760000</v>
      </c>
      <c r="T57" s="249">
        <f t="shared" si="64"/>
        <v>0</v>
      </c>
      <c r="U57" s="249">
        <f>S57-R57</f>
        <v>0</v>
      </c>
      <c r="V57" s="255"/>
      <c r="W57" s="249">
        <f t="shared" si="67"/>
        <v>342760000</v>
      </c>
      <c r="X57" s="249">
        <f t="shared" si="67"/>
        <v>27240000</v>
      </c>
      <c r="Y57" s="249">
        <f t="shared" si="67"/>
        <v>27240000</v>
      </c>
      <c r="Z57" s="249">
        <f t="shared" si="67"/>
        <v>370000000</v>
      </c>
      <c r="AA57" s="249">
        <f t="shared" ref="AA57" si="70">SUM(AA56:AA56)</f>
        <v>342760000</v>
      </c>
      <c r="AB57" s="60">
        <f t="shared" si="65"/>
        <v>0</v>
      </c>
      <c r="AC57" s="398">
        <f t="shared" si="66"/>
        <v>-27240000</v>
      </c>
    </row>
    <row r="58" spans="1:29" ht="15.75" customHeight="1" x14ac:dyDescent="0.25">
      <c r="A58" s="28" t="s">
        <v>20</v>
      </c>
      <c r="B58" s="23" t="s">
        <v>36</v>
      </c>
      <c r="C58" s="113" t="s">
        <v>51</v>
      </c>
      <c r="D58" s="327">
        <v>492621666</v>
      </c>
      <c r="E58" s="263"/>
      <c r="F58" s="545">
        <v>350000000</v>
      </c>
      <c r="G58" s="429"/>
      <c r="H58" s="429"/>
      <c r="I58" s="429">
        <f>H58+F58</f>
        <v>350000000</v>
      </c>
      <c r="J58" s="400">
        <v>350000000</v>
      </c>
      <c r="K58" s="187">
        <f t="shared" si="63"/>
        <v>0</v>
      </c>
      <c r="L58" s="187">
        <f>J58-I58</f>
        <v>0</v>
      </c>
      <c r="M58" s="374">
        <f>J58-D58</f>
        <v>-142621666</v>
      </c>
      <c r="N58" s="263"/>
      <c r="O58" s="545">
        <v>0</v>
      </c>
      <c r="P58" s="400"/>
      <c r="Q58" s="400"/>
      <c r="R58" s="549">
        <f>Q58+O58</f>
        <v>0</v>
      </c>
      <c r="S58" s="549">
        <v>0</v>
      </c>
      <c r="T58" s="187">
        <f t="shared" si="64"/>
        <v>0</v>
      </c>
      <c r="U58" s="187">
        <f>S58-R58</f>
        <v>0</v>
      </c>
      <c r="V58" s="282"/>
      <c r="W58" s="562">
        <v>0</v>
      </c>
      <c r="X58" s="440"/>
      <c r="Y58" s="400"/>
      <c r="Z58" s="400">
        <f>Y58+W58</f>
        <v>0</v>
      </c>
      <c r="AA58" s="400">
        <v>0</v>
      </c>
      <c r="AB58" s="187">
        <f t="shared" si="65"/>
        <v>0</v>
      </c>
      <c r="AC58" s="187">
        <f t="shared" si="66"/>
        <v>0</v>
      </c>
    </row>
    <row r="59" spans="1:29" s="133" customFormat="1" ht="32.25" customHeight="1" x14ac:dyDescent="0.25">
      <c r="A59" s="22" t="s">
        <v>20</v>
      </c>
      <c r="B59" s="79" t="s">
        <v>112</v>
      </c>
      <c r="C59" s="113" t="s">
        <v>173</v>
      </c>
      <c r="D59" s="332">
        <v>745737833</v>
      </c>
      <c r="E59" s="266"/>
      <c r="F59" s="559">
        <v>888359499</v>
      </c>
      <c r="G59" s="428">
        <v>211640501</v>
      </c>
      <c r="H59" s="428">
        <v>150000000</v>
      </c>
      <c r="I59" s="428">
        <f>H59+F59</f>
        <v>1038359499</v>
      </c>
      <c r="J59" s="428">
        <v>888359499</v>
      </c>
      <c r="K59" s="187">
        <f t="shared" si="63"/>
        <v>0</v>
      </c>
      <c r="L59" s="427">
        <f>J59-I59</f>
        <v>-150000000</v>
      </c>
      <c r="M59" s="428">
        <f>J59-D59</f>
        <v>142621666</v>
      </c>
      <c r="N59" s="266"/>
      <c r="O59" s="559">
        <v>1238359499</v>
      </c>
      <c r="P59" s="428">
        <v>211640501</v>
      </c>
      <c r="Q59" s="428">
        <v>165000000</v>
      </c>
      <c r="R59" s="582">
        <f>Q59+O59</f>
        <v>1403359499</v>
      </c>
      <c r="S59" s="582">
        <v>1138359499</v>
      </c>
      <c r="T59" s="427">
        <f t="shared" si="64"/>
        <v>-100000000</v>
      </c>
      <c r="U59" s="427">
        <f>S59-R59</f>
        <v>-265000000</v>
      </c>
      <c r="V59" s="266"/>
      <c r="W59" s="559">
        <v>1238359499</v>
      </c>
      <c r="X59" s="592">
        <v>150000000</v>
      </c>
      <c r="Y59" s="428">
        <v>115000000</v>
      </c>
      <c r="Z59" s="428">
        <f>Y59+W59</f>
        <v>1353359499</v>
      </c>
      <c r="AA59" s="428">
        <v>888359499</v>
      </c>
      <c r="AB59" s="427">
        <f t="shared" si="65"/>
        <v>-350000000</v>
      </c>
      <c r="AC59" s="427">
        <f t="shared" si="66"/>
        <v>-465000000</v>
      </c>
    </row>
    <row r="60" spans="1:29" ht="15.75" customHeight="1" thickBot="1" x14ac:dyDescent="0.3">
      <c r="A60" s="22" t="s">
        <v>20</v>
      </c>
      <c r="B60" s="215"/>
      <c r="C60" s="307" t="s">
        <v>147</v>
      </c>
      <c r="D60" s="333">
        <v>0</v>
      </c>
      <c r="E60" s="267"/>
      <c r="F60" s="560">
        <v>0</v>
      </c>
      <c r="G60" s="561"/>
      <c r="H60" s="561"/>
      <c r="I60" s="549">
        <f>H60+F60</f>
        <v>0</v>
      </c>
      <c r="J60" s="430">
        <v>0</v>
      </c>
      <c r="K60" s="430">
        <f t="shared" si="63"/>
        <v>0</v>
      </c>
      <c r="L60" s="430">
        <v>0</v>
      </c>
      <c r="M60" s="430">
        <f>J60-D60</f>
        <v>0</v>
      </c>
      <c r="N60" s="267"/>
      <c r="O60" s="560">
        <v>0</v>
      </c>
      <c r="P60" s="561"/>
      <c r="Q60" s="561"/>
      <c r="R60" s="583">
        <f>Q60+O60</f>
        <v>0</v>
      </c>
      <c r="S60" s="583">
        <v>0</v>
      </c>
      <c r="T60" s="430">
        <f t="shared" si="64"/>
        <v>0</v>
      </c>
      <c r="U60" s="430">
        <v>0</v>
      </c>
      <c r="V60" s="267"/>
      <c r="W60" s="560">
        <v>0</v>
      </c>
      <c r="X60" s="592">
        <f>211640501-150000000</f>
        <v>61640501</v>
      </c>
      <c r="Y60" s="561">
        <v>50000000</v>
      </c>
      <c r="Z60" s="561">
        <f>Y60+W60</f>
        <v>50000000</v>
      </c>
      <c r="AA60" s="561">
        <v>250000000</v>
      </c>
      <c r="AB60" s="450">
        <f t="shared" si="65"/>
        <v>250000000</v>
      </c>
      <c r="AC60" s="450">
        <f t="shared" si="66"/>
        <v>200000000</v>
      </c>
    </row>
    <row r="61" spans="1:29" ht="15.75" customHeight="1" thickBot="1" x14ac:dyDescent="0.3">
      <c r="A61" s="65" t="s">
        <v>20</v>
      </c>
      <c r="B61" s="58"/>
      <c r="C61" s="59" t="s">
        <v>0</v>
      </c>
      <c r="D61" s="60">
        <f t="shared" ref="D61:AA61" si="71">SUM(D58:D60)</f>
        <v>1238359499</v>
      </c>
      <c r="E61" s="255"/>
      <c r="F61" s="249">
        <f t="shared" si="71"/>
        <v>1238359499</v>
      </c>
      <c r="G61" s="249">
        <f t="shared" si="71"/>
        <v>211640501</v>
      </c>
      <c r="H61" s="249">
        <f>SUM(H58:H60)</f>
        <v>150000000</v>
      </c>
      <c r="I61" s="249">
        <f>SUM(I58:I60)</f>
        <v>1388359499</v>
      </c>
      <c r="J61" s="249">
        <f>SUM(J58:J60)</f>
        <v>1238359499</v>
      </c>
      <c r="K61" s="249">
        <f t="shared" si="63"/>
        <v>0</v>
      </c>
      <c r="L61" s="378">
        <f>J61-I61</f>
        <v>-150000000</v>
      </c>
      <c r="M61" s="249">
        <f>J61-D61</f>
        <v>0</v>
      </c>
      <c r="N61" s="255"/>
      <c r="O61" s="249">
        <f t="shared" si="71"/>
        <v>1238359499</v>
      </c>
      <c r="P61" s="249">
        <f t="shared" si="71"/>
        <v>211640501</v>
      </c>
      <c r="Q61" s="249">
        <f t="shared" si="71"/>
        <v>165000000</v>
      </c>
      <c r="R61" s="249">
        <f t="shared" si="71"/>
        <v>1403359499</v>
      </c>
      <c r="S61" s="249">
        <f t="shared" si="71"/>
        <v>1138359499</v>
      </c>
      <c r="T61" s="378">
        <f t="shared" si="64"/>
        <v>-100000000</v>
      </c>
      <c r="U61" s="378">
        <f>S61-R61</f>
        <v>-265000000</v>
      </c>
      <c r="V61" s="255"/>
      <c r="W61" s="249">
        <f t="shared" si="71"/>
        <v>1238359499</v>
      </c>
      <c r="X61" s="249">
        <f t="shared" si="71"/>
        <v>211640501</v>
      </c>
      <c r="Y61" s="249">
        <f t="shared" si="71"/>
        <v>165000000</v>
      </c>
      <c r="Z61" s="249">
        <f t="shared" si="71"/>
        <v>1403359499</v>
      </c>
      <c r="AA61" s="249">
        <f t="shared" si="71"/>
        <v>1138359499</v>
      </c>
      <c r="AB61" s="398">
        <f t="shared" si="65"/>
        <v>-100000000</v>
      </c>
      <c r="AC61" s="398">
        <f t="shared" si="66"/>
        <v>-265000000</v>
      </c>
    </row>
    <row r="62" spans="1:29" s="133" customFormat="1" ht="15.75" customHeight="1" thickBot="1" x14ac:dyDescent="0.3">
      <c r="A62" s="29" t="s">
        <v>119</v>
      </c>
      <c r="B62" s="143"/>
      <c r="C62" s="167"/>
      <c r="D62" s="334">
        <v>0</v>
      </c>
      <c r="E62" s="239"/>
      <c r="F62" s="562">
        <v>0</v>
      </c>
      <c r="G62" s="440"/>
      <c r="H62" s="440"/>
      <c r="I62" s="433">
        <f>H62+F62</f>
        <v>0</v>
      </c>
      <c r="J62" s="433">
        <v>0</v>
      </c>
      <c r="K62" s="433">
        <v>0</v>
      </c>
      <c r="L62" s="433">
        <v>0</v>
      </c>
      <c r="M62" s="433">
        <v>0</v>
      </c>
      <c r="N62" s="239"/>
      <c r="O62" s="562">
        <v>0</v>
      </c>
      <c r="P62" s="440"/>
      <c r="Q62" s="440"/>
      <c r="R62" s="433">
        <f>Q62+O62</f>
        <v>0</v>
      </c>
      <c r="S62" s="433">
        <f>R62+Q62</f>
        <v>0</v>
      </c>
      <c r="T62" s="433">
        <v>0</v>
      </c>
      <c r="U62" s="433">
        <v>0</v>
      </c>
      <c r="V62" s="239"/>
      <c r="W62" s="562">
        <v>0</v>
      </c>
      <c r="X62" s="440">
        <v>0</v>
      </c>
      <c r="Y62" s="440"/>
      <c r="Z62" s="440">
        <f>Y62+W62</f>
        <v>0</v>
      </c>
      <c r="AA62" s="440">
        <f>Z62+Y62</f>
        <v>0</v>
      </c>
      <c r="AB62" s="440">
        <v>0</v>
      </c>
      <c r="AC62" s="440">
        <v>0</v>
      </c>
    </row>
    <row r="63" spans="1:29" ht="15.75" customHeight="1" thickBot="1" x14ac:dyDescent="0.3">
      <c r="A63" s="44" t="s">
        <v>119</v>
      </c>
      <c r="B63" s="58"/>
      <c r="C63" s="59" t="s">
        <v>0</v>
      </c>
      <c r="D63" s="60">
        <f t="shared" ref="D63:Z63" si="72">SUM(D62:D62)</f>
        <v>0</v>
      </c>
      <c r="E63" s="255"/>
      <c r="F63" s="249">
        <f t="shared" si="72"/>
        <v>0</v>
      </c>
      <c r="G63" s="249">
        <f t="shared" si="72"/>
        <v>0</v>
      </c>
      <c r="H63" s="249">
        <f>SUM(H62:H62)</f>
        <v>0</v>
      </c>
      <c r="I63" s="249">
        <f t="shared" ref="I63:J63" si="73">SUM(I62:I62)</f>
        <v>0</v>
      </c>
      <c r="J63" s="249">
        <f t="shared" si="73"/>
        <v>0</v>
      </c>
      <c r="K63" s="249">
        <f>J63-F63</f>
        <v>0</v>
      </c>
      <c r="L63" s="249">
        <f>J63-I63</f>
        <v>0</v>
      </c>
      <c r="M63" s="249">
        <f>J63-D63</f>
        <v>0</v>
      </c>
      <c r="N63" s="255"/>
      <c r="O63" s="249">
        <f t="shared" si="72"/>
        <v>0</v>
      </c>
      <c r="P63" s="249">
        <f t="shared" si="72"/>
        <v>0</v>
      </c>
      <c r="Q63" s="249">
        <f t="shared" si="72"/>
        <v>0</v>
      </c>
      <c r="R63" s="249">
        <f t="shared" si="72"/>
        <v>0</v>
      </c>
      <c r="S63" s="249">
        <f t="shared" ref="S63" si="74">SUM(S62:S62)</f>
        <v>0</v>
      </c>
      <c r="T63" s="249">
        <f>S63-O63</f>
        <v>0</v>
      </c>
      <c r="U63" s="249">
        <f>S63-R63</f>
        <v>0</v>
      </c>
      <c r="V63" s="255"/>
      <c r="W63" s="249">
        <f t="shared" si="72"/>
        <v>0</v>
      </c>
      <c r="X63" s="249">
        <f t="shared" si="72"/>
        <v>0</v>
      </c>
      <c r="Y63" s="249">
        <f t="shared" si="72"/>
        <v>0</v>
      </c>
      <c r="Z63" s="249">
        <f t="shared" si="72"/>
        <v>0</v>
      </c>
      <c r="AA63" s="249">
        <f t="shared" ref="AA63" si="75">SUM(AA62:AA62)</f>
        <v>0</v>
      </c>
      <c r="AB63" s="60">
        <f>AA63-W63</f>
        <v>0</v>
      </c>
      <c r="AC63" s="60">
        <f>AA63-Z63</f>
        <v>0</v>
      </c>
    </row>
    <row r="64" spans="1:29" ht="15.75" customHeight="1" thickBot="1" x14ac:dyDescent="0.3">
      <c r="A64" s="142" t="s">
        <v>2</v>
      </c>
      <c r="B64" s="143"/>
      <c r="C64" s="167"/>
      <c r="D64" s="335">
        <v>0</v>
      </c>
      <c r="E64" s="230"/>
      <c r="F64" s="563">
        <v>0</v>
      </c>
      <c r="G64" s="489"/>
      <c r="H64" s="489"/>
      <c r="I64" s="512">
        <f>H64+F64</f>
        <v>0</v>
      </c>
      <c r="J64" s="512">
        <v>0</v>
      </c>
      <c r="K64" s="433">
        <v>0</v>
      </c>
      <c r="L64" s="433">
        <v>0</v>
      </c>
      <c r="M64" s="512">
        <v>0</v>
      </c>
      <c r="N64" s="230"/>
      <c r="O64" s="563">
        <v>0</v>
      </c>
      <c r="P64" s="489"/>
      <c r="Q64" s="489"/>
      <c r="R64" s="512">
        <f>Q64+O64</f>
        <v>0</v>
      </c>
      <c r="S64" s="512">
        <f>R64+Q64</f>
        <v>0</v>
      </c>
      <c r="T64" s="433">
        <v>0</v>
      </c>
      <c r="U64" s="433">
        <v>0</v>
      </c>
      <c r="V64" s="230"/>
      <c r="W64" s="563">
        <v>0</v>
      </c>
      <c r="X64" s="489">
        <v>0</v>
      </c>
      <c r="Y64" s="489"/>
      <c r="Z64" s="489">
        <f>Y64+W64</f>
        <v>0</v>
      </c>
      <c r="AA64" s="489">
        <f>Z64+Y64</f>
        <v>0</v>
      </c>
      <c r="AB64" s="440">
        <v>0</v>
      </c>
      <c r="AC64" s="440">
        <v>0</v>
      </c>
    </row>
    <row r="65" spans="1:29" ht="15.75" customHeight="1" thickBot="1" x14ac:dyDescent="0.3">
      <c r="A65" s="57" t="s">
        <v>2</v>
      </c>
      <c r="B65" s="58"/>
      <c r="C65" s="59" t="s">
        <v>0</v>
      </c>
      <c r="D65" s="60">
        <f t="shared" ref="D65:Z65" si="76">SUM(D64:D64)</f>
        <v>0</v>
      </c>
      <c r="E65" s="255"/>
      <c r="F65" s="249">
        <f t="shared" si="76"/>
        <v>0</v>
      </c>
      <c r="G65" s="249">
        <f t="shared" si="76"/>
        <v>0</v>
      </c>
      <c r="H65" s="249">
        <f>SUM(H64:H64)</f>
        <v>0</v>
      </c>
      <c r="I65" s="249">
        <f t="shared" ref="I65:J65" si="77">SUM(I64:I64)</f>
        <v>0</v>
      </c>
      <c r="J65" s="249">
        <f t="shared" si="77"/>
        <v>0</v>
      </c>
      <c r="K65" s="249">
        <f>J65-F65</f>
        <v>0</v>
      </c>
      <c r="L65" s="249">
        <f>J65-I65</f>
        <v>0</v>
      </c>
      <c r="M65" s="249">
        <f>J65-D65</f>
        <v>0</v>
      </c>
      <c r="N65" s="255"/>
      <c r="O65" s="249">
        <f t="shared" si="76"/>
        <v>0</v>
      </c>
      <c r="P65" s="249">
        <f t="shared" si="76"/>
        <v>0</v>
      </c>
      <c r="Q65" s="249">
        <f t="shared" si="76"/>
        <v>0</v>
      </c>
      <c r="R65" s="249">
        <f t="shared" si="76"/>
        <v>0</v>
      </c>
      <c r="S65" s="249">
        <f t="shared" ref="S65" si="78">SUM(S64:S64)</f>
        <v>0</v>
      </c>
      <c r="T65" s="249">
        <f>S65-O65</f>
        <v>0</v>
      </c>
      <c r="U65" s="249">
        <f>S65-R65</f>
        <v>0</v>
      </c>
      <c r="V65" s="255"/>
      <c r="W65" s="249">
        <f t="shared" si="76"/>
        <v>0</v>
      </c>
      <c r="X65" s="249">
        <f t="shared" si="76"/>
        <v>0</v>
      </c>
      <c r="Y65" s="249">
        <f t="shared" si="76"/>
        <v>0</v>
      </c>
      <c r="Z65" s="249">
        <f t="shared" si="76"/>
        <v>0</v>
      </c>
      <c r="AA65" s="249">
        <f t="shared" ref="AA65" si="79">SUM(AA64:AA64)</f>
        <v>0</v>
      </c>
      <c r="AB65" s="60">
        <f>AA65-W65</f>
        <v>0</v>
      </c>
      <c r="AC65" s="60">
        <f>AA65-Z65</f>
        <v>0</v>
      </c>
    </row>
    <row r="66" spans="1:29" ht="15.75" customHeight="1" x14ac:dyDescent="0.25">
      <c r="A66" s="625" t="s">
        <v>60</v>
      </c>
      <c r="B66" s="626"/>
      <c r="C66" s="626"/>
      <c r="D66" s="131">
        <f>SUM(D67:D73)</f>
        <v>3170541079</v>
      </c>
      <c r="E66" s="268"/>
      <c r="F66" s="252">
        <f>SUM(F67:F73)</f>
        <v>3493364251</v>
      </c>
      <c r="G66" s="252">
        <f>SUM(G67:G73)</f>
        <v>0</v>
      </c>
      <c r="H66" s="252">
        <f>SUM(H67:H73)</f>
        <v>0</v>
      </c>
      <c r="I66" s="252">
        <f>SUM(I67:I73)</f>
        <v>3493364251</v>
      </c>
      <c r="J66" s="252">
        <f>SUM(J67:J73)</f>
        <v>3024440848</v>
      </c>
      <c r="K66" s="379">
        <f>J66-F66</f>
        <v>-468923403</v>
      </c>
      <c r="L66" s="379">
        <f>J66-I66</f>
        <v>-468923403</v>
      </c>
      <c r="M66" s="379">
        <f>J66-D66</f>
        <v>-146100231</v>
      </c>
      <c r="N66" s="268"/>
      <c r="O66" s="252">
        <f>SUM(O67:O73)</f>
        <v>3594998577</v>
      </c>
      <c r="P66" s="252">
        <f>SUM(P67:P73)</f>
        <v>557000000</v>
      </c>
      <c r="Q66" s="252">
        <f>SUM(Q67:Q73)</f>
        <v>470000000</v>
      </c>
      <c r="R66" s="252">
        <f>SUM(R67:R73)</f>
        <v>4064998577</v>
      </c>
      <c r="S66" s="252">
        <f>SUM(S67:S73)</f>
        <v>2840660823</v>
      </c>
      <c r="T66" s="379">
        <f>S66-O66</f>
        <v>-754337754</v>
      </c>
      <c r="U66" s="379">
        <f>S66-R66</f>
        <v>-1224337754</v>
      </c>
      <c r="V66" s="268"/>
      <c r="W66" s="252">
        <f>SUM(W67:W73)</f>
        <v>3939998577</v>
      </c>
      <c r="X66" s="252">
        <f>SUM(X67:X73)</f>
        <v>350000000</v>
      </c>
      <c r="Y66" s="252">
        <f>SUM(Y67:Y73)</f>
        <v>300000000</v>
      </c>
      <c r="Z66" s="252">
        <f>SUM(Z67:Z73)</f>
        <v>4239998577</v>
      </c>
      <c r="AA66" s="252">
        <f>SUM(AA67:AA73)</f>
        <v>2790633816</v>
      </c>
      <c r="AB66" s="399">
        <f>AA66-W66</f>
        <v>-1149364761</v>
      </c>
      <c r="AC66" s="399">
        <f>AA66-Z66</f>
        <v>-1449364761</v>
      </c>
    </row>
    <row r="67" spans="1:29" ht="15.75" customHeight="1" x14ac:dyDescent="0.25">
      <c r="A67" s="28" t="s">
        <v>13</v>
      </c>
      <c r="B67" s="23" t="s">
        <v>15</v>
      </c>
      <c r="C67" s="24" t="s">
        <v>64</v>
      </c>
      <c r="D67" s="336">
        <v>13279372</v>
      </c>
      <c r="E67" s="269"/>
      <c r="F67" s="526">
        <v>4000000</v>
      </c>
      <c r="G67" s="527"/>
      <c r="H67" s="527"/>
      <c r="I67" s="528">
        <f t="shared" ref="I67:I73" si="80">H67+F67</f>
        <v>4000000</v>
      </c>
      <c r="J67" s="528">
        <v>86763</v>
      </c>
      <c r="K67" s="374">
        <f>J67-F67</f>
        <v>-3913237</v>
      </c>
      <c r="L67" s="374">
        <f>J67-I67</f>
        <v>-3913237</v>
      </c>
      <c r="M67" s="374">
        <f>J67-D67</f>
        <v>-13192609</v>
      </c>
      <c r="N67" s="278"/>
      <c r="O67" s="546">
        <v>0</v>
      </c>
      <c r="P67" s="452"/>
      <c r="Q67" s="452"/>
      <c r="R67" s="401">
        <f t="shared" ref="R67:R73" si="81">Q67+O67</f>
        <v>0</v>
      </c>
      <c r="S67" s="401">
        <f>R67+Q67</f>
        <v>0</v>
      </c>
      <c r="T67" s="187">
        <f>S67-O67</f>
        <v>0</v>
      </c>
      <c r="U67" s="374">
        <f>S67-R67</f>
        <v>0</v>
      </c>
      <c r="V67" s="260"/>
      <c r="W67" s="593">
        <v>0</v>
      </c>
      <c r="X67" s="504"/>
      <c r="Y67" s="452"/>
      <c r="Z67" s="452">
        <f t="shared" ref="Z67:Z73" si="82">Y67+W67</f>
        <v>0</v>
      </c>
      <c r="AA67" s="452">
        <f>Z67+Y67</f>
        <v>0</v>
      </c>
      <c r="AB67" s="187">
        <f>AA67-W67</f>
        <v>0</v>
      </c>
      <c r="AC67" s="187">
        <f>AA67-Z67</f>
        <v>0</v>
      </c>
    </row>
    <row r="68" spans="1:29" ht="15.75" customHeight="1" x14ac:dyDescent="0.25">
      <c r="A68" s="28" t="s">
        <v>13</v>
      </c>
      <c r="B68" s="23" t="s">
        <v>32</v>
      </c>
      <c r="C68" s="31" t="s">
        <v>47</v>
      </c>
      <c r="D68" s="336">
        <v>332899927</v>
      </c>
      <c r="E68" s="269"/>
      <c r="F68" s="529">
        <v>0</v>
      </c>
      <c r="G68" s="527"/>
      <c r="H68" s="527"/>
      <c r="I68" s="528">
        <f t="shared" si="80"/>
        <v>0</v>
      </c>
      <c r="J68" s="528">
        <v>0</v>
      </c>
      <c r="K68" s="530">
        <f>J68-F68</f>
        <v>0</v>
      </c>
      <c r="L68" s="374">
        <f t="shared" ref="L68:L73" si="83">J68-I68</f>
        <v>0</v>
      </c>
      <c r="M68" s="531">
        <f>J68-D68</f>
        <v>-332899927</v>
      </c>
      <c r="N68" s="278"/>
      <c r="O68" s="546">
        <v>0</v>
      </c>
      <c r="P68" s="452"/>
      <c r="Q68" s="452"/>
      <c r="R68" s="401">
        <f t="shared" si="81"/>
        <v>0</v>
      </c>
      <c r="S68" s="401">
        <f>R68+Q68</f>
        <v>0</v>
      </c>
      <c r="T68" s="530">
        <f>S68-O68</f>
        <v>0</v>
      </c>
      <c r="U68" s="374">
        <f t="shared" ref="U68:U73" si="84">S68-R68</f>
        <v>0</v>
      </c>
      <c r="V68" s="260"/>
      <c r="W68" s="593">
        <v>0</v>
      </c>
      <c r="X68" s="504"/>
      <c r="Y68" s="452"/>
      <c r="Z68" s="452">
        <f t="shared" si="82"/>
        <v>0</v>
      </c>
      <c r="AA68" s="452">
        <f>Z68+Y68</f>
        <v>0</v>
      </c>
      <c r="AB68" s="587">
        <f>AA68-W68</f>
        <v>0</v>
      </c>
      <c r="AC68" s="187">
        <f t="shared" ref="AC68:AC73" si="85">AA68-Z68</f>
        <v>0</v>
      </c>
    </row>
    <row r="69" spans="1:29" ht="15.75" customHeight="1" x14ac:dyDescent="0.25">
      <c r="A69" s="32" t="s">
        <v>13</v>
      </c>
      <c r="B69" s="33" t="s">
        <v>33</v>
      </c>
      <c r="C69" s="168" t="s">
        <v>72</v>
      </c>
      <c r="D69" s="336">
        <v>1010393562</v>
      </c>
      <c r="E69" s="269"/>
      <c r="F69" s="529">
        <v>1076976439</v>
      </c>
      <c r="G69" s="527"/>
      <c r="H69" s="527"/>
      <c r="I69" s="528">
        <f t="shared" si="80"/>
        <v>1076976439</v>
      </c>
      <c r="J69" s="528">
        <v>1087207771</v>
      </c>
      <c r="K69" s="530">
        <f t="shared" ref="K69:K73" si="86">J69-F69</f>
        <v>10231332</v>
      </c>
      <c r="L69" s="374">
        <f t="shared" si="83"/>
        <v>10231332</v>
      </c>
      <c r="M69" s="528">
        <f t="shared" ref="M69:M73" si="87">J69-D69</f>
        <v>76814209</v>
      </c>
      <c r="N69" s="278"/>
      <c r="O69" s="526">
        <v>1067645673</v>
      </c>
      <c r="P69" s="570"/>
      <c r="Q69" s="570"/>
      <c r="R69" s="401">
        <f t="shared" si="81"/>
        <v>1067645673</v>
      </c>
      <c r="S69" s="584">
        <f>1068269907-10000000</f>
        <v>1058269907</v>
      </c>
      <c r="T69" s="531">
        <f t="shared" ref="T69:T73" si="88">S69-O69</f>
        <v>-9375766</v>
      </c>
      <c r="U69" s="374">
        <f t="shared" si="84"/>
        <v>-9375766</v>
      </c>
      <c r="V69" s="269"/>
      <c r="W69" s="593">
        <v>1115998577</v>
      </c>
      <c r="X69" s="504"/>
      <c r="Y69" s="570"/>
      <c r="Z69" s="452">
        <f t="shared" si="82"/>
        <v>1115998577</v>
      </c>
      <c r="AA69" s="594">
        <f>1066725735-20000000</f>
        <v>1046725735</v>
      </c>
      <c r="AB69" s="588">
        <f t="shared" ref="AB69:AB73" si="89">AA69-W69</f>
        <v>-69272842</v>
      </c>
      <c r="AC69" s="374">
        <f t="shared" si="85"/>
        <v>-69272842</v>
      </c>
    </row>
    <row r="70" spans="1:29" ht="15.75" customHeight="1" x14ac:dyDescent="0.25">
      <c r="A70" s="2" t="s">
        <v>13</v>
      </c>
      <c r="B70" s="87" t="s">
        <v>34</v>
      </c>
      <c r="C70" s="24" t="s">
        <v>48</v>
      </c>
      <c r="D70" s="336">
        <v>156004639</v>
      </c>
      <c r="E70" s="269"/>
      <c r="F70" s="564">
        <v>0</v>
      </c>
      <c r="G70" s="452"/>
      <c r="H70" s="452"/>
      <c r="I70" s="528">
        <f t="shared" si="80"/>
        <v>0</v>
      </c>
      <c r="J70" s="528"/>
      <c r="K70" s="530">
        <f t="shared" si="86"/>
        <v>0</v>
      </c>
      <c r="L70" s="374">
        <f t="shared" si="83"/>
        <v>0</v>
      </c>
      <c r="M70" s="531">
        <f t="shared" si="87"/>
        <v>-156004639</v>
      </c>
      <c r="N70" s="260"/>
      <c r="O70" s="546">
        <v>0</v>
      </c>
      <c r="P70" s="452"/>
      <c r="Q70" s="452"/>
      <c r="R70" s="401">
        <f t="shared" si="81"/>
        <v>0</v>
      </c>
      <c r="S70" s="401">
        <v>0</v>
      </c>
      <c r="T70" s="530">
        <f t="shared" si="88"/>
        <v>0</v>
      </c>
      <c r="U70" s="374">
        <f t="shared" si="84"/>
        <v>0</v>
      </c>
      <c r="V70" s="260"/>
      <c r="W70" s="593">
        <v>0</v>
      </c>
      <c r="X70" s="504"/>
      <c r="Y70" s="452"/>
      <c r="Z70" s="452">
        <f t="shared" si="82"/>
        <v>0</v>
      </c>
      <c r="AA70" s="452">
        <v>0</v>
      </c>
      <c r="AB70" s="587">
        <f t="shared" si="89"/>
        <v>0</v>
      </c>
      <c r="AC70" s="187">
        <f t="shared" si="85"/>
        <v>0</v>
      </c>
    </row>
    <row r="71" spans="1:29" ht="15.75" customHeight="1" x14ac:dyDescent="0.25">
      <c r="A71" s="36" t="s">
        <v>13</v>
      </c>
      <c r="B71" s="182" t="s">
        <v>115</v>
      </c>
      <c r="C71" s="165" t="s">
        <v>137</v>
      </c>
      <c r="D71" s="337">
        <v>1077035780</v>
      </c>
      <c r="E71" s="270"/>
      <c r="F71" s="532">
        <v>1525559343</v>
      </c>
      <c r="G71" s="533"/>
      <c r="H71" s="533"/>
      <c r="I71" s="528">
        <f t="shared" si="80"/>
        <v>1525559343</v>
      </c>
      <c r="J71" s="528">
        <v>985266339</v>
      </c>
      <c r="K71" s="531">
        <f t="shared" si="86"/>
        <v>-540293004</v>
      </c>
      <c r="L71" s="374">
        <f t="shared" si="83"/>
        <v>-540293004</v>
      </c>
      <c r="M71" s="531">
        <f t="shared" si="87"/>
        <v>-91769441</v>
      </c>
      <c r="N71" s="279"/>
      <c r="O71" s="532">
        <v>1656789144</v>
      </c>
      <c r="P71" s="571">
        <v>243000000</v>
      </c>
      <c r="Q71" s="571">
        <v>220000000</v>
      </c>
      <c r="R71" s="401">
        <f t="shared" si="81"/>
        <v>1876789144</v>
      </c>
      <c r="S71" s="401">
        <v>956723057</v>
      </c>
      <c r="T71" s="531">
        <f t="shared" si="88"/>
        <v>-700066087</v>
      </c>
      <c r="U71" s="374">
        <f t="shared" si="84"/>
        <v>-920066087</v>
      </c>
      <c r="V71" s="270"/>
      <c r="W71" s="593">
        <v>1500000000</v>
      </c>
      <c r="X71" s="504">
        <v>350000000</v>
      </c>
      <c r="Y71" s="571">
        <v>300000000</v>
      </c>
      <c r="Z71" s="452">
        <f t="shared" si="82"/>
        <v>1800000000</v>
      </c>
      <c r="AA71" s="452">
        <v>921590855</v>
      </c>
      <c r="AB71" s="588">
        <f t="shared" si="89"/>
        <v>-578409145</v>
      </c>
      <c r="AC71" s="374">
        <f t="shared" si="85"/>
        <v>-878409145</v>
      </c>
    </row>
    <row r="72" spans="1:29" ht="15.75" customHeight="1" x14ac:dyDescent="0.25">
      <c r="A72" s="28" t="s">
        <v>13</v>
      </c>
      <c r="B72" s="23" t="s">
        <v>138</v>
      </c>
      <c r="C72" s="113" t="s">
        <v>79</v>
      </c>
      <c r="D72" s="336">
        <v>513927799</v>
      </c>
      <c r="E72" s="269"/>
      <c r="F72" s="526">
        <v>766828469</v>
      </c>
      <c r="G72" s="534">
        <f>73000000-73000000</f>
        <v>0</v>
      </c>
      <c r="H72" s="534"/>
      <c r="I72" s="528">
        <f t="shared" si="80"/>
        <v>766828469</v>
      </c>
      <c r="J72" s="528">
        <v>802530699</v>
      </c>
      <c r="K72" s="530">
        <f t="shared" si="86"/>
        <v>35702230</v>
      </c>
      <c r="L72" s="374">
        <f t="shared" si="83"/>
        <v>35702230</v>
      </c>
      <c r="M72" s="528">
        <f t="shared" si="87"/>
        <v>288602900</v>
      </c>
      <c r="N72" s="278"/>
      <c r="O72" s="526">
        <v>720563760</v>
      </c>
      <c r="P72" s="570">
        <v>314000000</v>
      </c>
      <c r="Q72" s="570">
        <v>250000000</v>
      </c>
      <c r="R72" s="401">
        <f t="shared" si="81"/>
        <v>970563760</v>
      </c>
      <c r="S72" s="401">
        <v>675667859</v>
      </c>
      <c r="T72" s="531">
        <f t="shared" si="88"/>
        <v>-44895901</v>
      </c>
      <c r="U72" s="374">
        <f t="shared" si="84"/>
        <v>-294895901</v>
      </c>
      <c r="V72" s="269"/>
      <c r="W72" s="593">
        <v>1130000000</v>
      </c>
      <c r="X72" s="595">
        <f>1065000000-1065000000</f>
        <v>0</v>
      </c>
      <c r="Y72" s="570"/>
      <c r="Z72" s="452">
        <f t="shared" si="82"/>
        <v>1130000000</v>
      </c>
      <c r="AA72" s="452">
        <v>652389839</v>
      </c>
      <c r="AB72" s="588">
        <f t="shared" si="89"/>
        <v>-477610161</v>
      </c>
      <c r="AC72" s="374">
        <f t="shared" si="85"/>
        <v>-477610161</v>
      </c>
    </row>
    <row r="73" spans="1:29" ht="15.75" customHeight="1" x14ac:dyDescent="0.25">
      <c r="A73" s="28" t="s">
        <v>13</v>
      </c>
      <c r="B73" s="23" t="s">
        <v>123</v>
      </c>
      <c r="C73" s="113" t="s">
        <v>78</v>
      </c>
      <c r="D73" s="338">
        <v>67000000</v>
      </c>
      <c r="E73" s="271"/>
      <c r="F73" s="526">
        <v>120000000</v>
      </c>
      <c r="G73" s="527"/>
      <c r="H73" s="527"/>
      <c r="I73" s="528">
        <f t="shared" si="80"/>
        <v>120000000</v>
      </c>
      <c r="J73" s="528">
        <v>149349276</v>
      </c>
      <c r="K73" s="530">
        <f t="shared" si="86"/>
        <v>29349276</v>
      </c>
      <c r="L73" s="374">
        <f t="shared" si="83"/>
        <v>29349276</v>
      </c>
      <c r="M73" s="528">
        <f t="shared" si="87"/>
        <v>82349276</v>
      </c>
      <c r="N73" s="278"/>
      <c r="O73" s="526">
        <v>150000000</v>
      </c>
      <c r="P73" s="570"/>
      <c r="Q73" s="570"/>
      <c r="R73" s="401">
        <f t="shared" si="81"/>
        <v>150000000</v>
      </c>
      <c r="S73" s="401">
        <v>150000000</v>
      </c>
      <c r="T73" s="530">
        <f t="shared" si="88"/>
        <v>0</v>
      </c>
      <c r="U73" s="374">
        <f t="shared" si="84"/>
        <v>0</v>
      </c>
      <c r="V73" s="269"/>
      <c r="W73" s="589">
        <v>194000000</v>
      </c>
      <c r="X73" s="488"/>
      <c r="Y73" s="570"/>
      <c r="Z73" s="452">
        <f t="shared" si="82"/>
        <v>194000000</v>
      </c>
      <c r="AA73" s="452">
        <v>169927387</v>
      </c>
      <c r="AB73" s="588">
        <f t="shared" si="89"/>
        <v>-24072613</v>
      </c>
      <c r="AC73" s="374">
        <f t="shared" si="85"/>
        <v>-24072613</v>
      </c>
    </row>
    <row r="74" spans="1:29" ht="15.75" customHeight="1" x14ac:dyDescent="0.25">
      <c r="A74" s="627" t="s">
        <v>61</v>
      </c>
      <c r="B74" s="628"/>
      <c r="C74" s="628"/>
      <c r="D74" s="130">
        <f t="shared" ref="D74:Z74" si="90">SUM(D75:D80)</f>
        <v>2165407139</v>
      </c>
      <c r="E74" s="272"/>
      <c r="F74" s="435">
        <f t="shared" si="90"/>
        <v>2131775815</v>
      </c>
      <c r="G74" s="435">
        <f t="shared" si="90"/>
        <v>651000000</v>
      </c>
      <c r="H74" s="435">
        <f>SUM(H75:H80)</f>
        <v>651000000</v>
      </c>
      <c r="I74" s="435">
        <f>SUM(I75:I80)</f>
        <v>2782775815</v>
      </c>
      <c r="J74" s="435">
        <f>SUM(J75:J80)</f>
        <v>2349749577</v>
      </c>
      <c r="K74" s="451">
        <f>J74-F74</f>
        <v>217973762</v>
      </c>
      <c r="L74" s="434">
        <f>J74-I74</f>
        <v>-433026238</v>
      </c>
      <c r="M74" s="435">
        <f>J74-D74</f>
        <v>184342438</v>
      </c>
      <c r="N74" s="272"/>
      <c r="O74" s="435">
        <f t="shared" si="90"/>
        <v>2250141489</v>
      </c>
      <c r="P74" s="435">
        <f>SUM(P75:P80)</f>
        <v>1747100000</v>
      </c>
      <c r="Q74" s="435">
        <f t="shared" si="90"/>
        <v>1308625904</v>
      </c>
      <c r="R74" s="435">
        <f t="shared" si="90"/>
        <v>3558767393</v>
      </c>
      <c r="S74" s="435">
        <f t="shared" ref="S74" si="91">SUM(S75:S80)</f>
        <v>2143529602</v>
      </c>
      <c r="T74" s="434">
        <f>S74-O74</f>
        <v>-106611887</v>
      </c>
      <c r="U74" s="434">
        <f>S74-R74</f>
        <v>-1415237791</v>
      </c>
      <c r="V74" s="272"/>
      <c r="W74" s="435">
        <f t="shared" si="90"/>
        <v>1905141489</v>
      </c>
      <c r="X74" s="435">
        <f>SUM(X75:X80)</f>
        <v>2378500000</v>
      </c>
      <c r="Y74" s="435">
        <f t="shared" si="90"/>
        <v>2123077589</v>
      </c>
      <c r="Z74" s="435">
        <f t="shared" si="90"/>
        <v>4028219078</v>
      </c>
      <c r="AA74" s="435">
        <f t="shared" ref="AA74" si="92">SUM(AA75:AA80)</f>
        <v>2273556609</v>
      </c>
      <c r="AB74" s="454">
        <f>AA74-W74</f>
        <v>368415120</v>
      </c>
      <c r="AC74" s="477">
        <f>AA74-Z74</f>
        <v>-1754662469</v>
      </c>
    </row>
    <row r="75" spans="1:29" ht="15.75" customHeight="1" x14ac:dyDescent="0.25">
      <c r="A75" s="32" t="s">
        <v>13</v>
      </c>
      <c r="B75" s="33" t="s">
        <v>53</v>
      </c>
      <c r="C75" s="24" t="s">
        <v>56</v>
      </c>
      <c r="D75" s="338">
        <v>509788880</v>
      </c>
      <c r="E75" s="271"/>
      <c r="F75" s="526">
        <v>396512212</v>
      </c>
      <c r="G75" s="535"/>
      <c r="H75" s="535"/>
      <c r="I75" s="536">
        <f t="shared" ref="I75:I80" si="93">H75+F75</f>
        <v>396512212</v>
      </c>
      <c r="J75" s="536">
        <v>403506182</v>
      </c>
      <c r="K75" s="187">
        <f>J75-F75</f>
        <v>6993970</v>
      </c>
      <c r="L75" s="187">
        <f>J75-I75</f>
        <v>6993970</v>
      </c>
      <c r="M75" s="374">
        <f>J75-D75</f>
        <v>-106282698</v>
      </c>
      <c r="N75" s="280"/>
      <c r="O75" s="546">
        <v>0</v>
      </c>
      <c r="P75" s="452"/>
      <c r="Q75" s="452"/>
      <c r="R75" s="401">
        <f t="shared" ref="R75:R80" si="94">Q75+O75</f>
        <v>0</v>
      </c>
      <c r="S75" s="401">
        <v>0</v>
      </c>
      <c r="T75" s="187">
        <f>S75-O75</f>
        <v>0</v>
      </c>
      <c r="U75" s="187">
        <f>S75-R75</f>
        <v>0</v>
      </c>
      <c r="V75" s="260"/>
      <c r="W75" s="593">
        <v>0</v>
      </c>
      <c r="X75" s="504"/>
      <c r="Y75" s="452"/>
      <c r="Z75" s="452">
        <f t="shared" ref="Z75:Z80" si="95">Y75+W75</f>
        <v>0</v>
      </c>
      <c r="AA75" s="452">
        <v>0</v>
      </c>
      <c r="AB75" s="187">
        <f>AA75-W75</f>
        <v>0</v>
      </c>
      <c r="AC75" s="187">
        <f>AA75-Z75</f>
        <v>0</v>
      </c>
    </row>
    <row r="76" spans="1:29" ht="15.75" customHeight="1" x14ac:dyDescent="0.25">
      <c r="A76" s="32" t="s">
        <v>13</v>
      </c>
      <c r="B76" s="33" t="s">
        <v>127</v>
      </c>
      <c r="C76" s="24" t="s">
        <v>154</v>
      </c>
      <c r="D76" s="336">
        <v>113019272</v>
      </c>
      <c r="E76" s="269"/>
      <c r="F76" s="526">
        <v>377716576</v>
      </c>
      <c r="G76" s="535"/>
      <c r="H76" s="535"/>
      <c r="I76" s="536">
        <f t="shared" si="93"/>
        <v>377716576</v>
      </c>
      <c r="J76" s="536">
        <v>249502072</v>
      </c>
      <c r="K76" s="374">
        <f t="shared" ref="K76:K80" si="96">J76-F76</f>
        <v>-128214504</v>
      </c>
      <c r="L76" s="374">
        <f t="shared" ref="L76:L80" si="97">J76-I76</f>
        <v>-128214504</v>
      </c>
      <c r="M76" s="187">
        <f>J76-D76</f>
        <v>136482800</v>
      </c>
      <c r="N76" s="280"/>
      <c r="O76" s="526">
        <v>850000000</v>
      </c>
      <c r="P76" s="572">
        <f>112000000+352100000</f>
        <v>464100000</v>
      </c>
      <c r="Q76" s="573">
        <f>211000000-60000000</f>
        <v>151000000</v>
      </c>
      <c r="R76" s="401">
        <f t="shared" si="94"/>
        <v>1001000000</v>
      </c>
      <c r="S76" s="401">
        <v>479275340</v>
      </c>
      <c r="T76" s="374">
        <f t="shared" ref="T76:T80" si="98">S76-O76</f>
        <v>-370724660</v>
      </c>
      <c r="U76" s="374">
        <f t="shared" ref="U76:U80" si="99">S76-R76</f>
        <v>-521724660</v>
      </c>
      <c r="V76" s="269"/>
      <c r="W76" s="593">
        <v>850000000</v>
      </c>
      <c r="X76" s="595">
        <f>1451000000-907500000</f>
        <v>543500000</v>
      </c>
      <c r="Y76" s="573">
        <f>500000000-108422411</f>
        <v>391577589</v>
      </c>
      <c r="Z76" s="452">
        <f t="shared" si="95"/>
        <v>1241577589</v>
      </c>
      <c r="AA76" s="452">
        <v>588004880</v>
      </c>
      <c r="AB76" s="374">
        <f t="shared" ref="AB76:AB80" si="100">AA76-W76</f>
        <v>-261995120</v>
      </c>
      <c r="AC76" s="374">
        <f t="shared" ref="AC76:AC80" si="101">AA76-Z76</f>
        <v>-653572709</v>
      </c>
    </row>
    <row r="77" spans="1:29" ht="15.75" customHeight="1" x14ac:dyDescent="0.25">
      <c r="A77" s="32" t="s">
        <v>13</v>
      </c>
      <c r="B77" s="33" t="s">
        <v>54</v>
      </c>
      <c r="C77" s="69" t="s">
        <v>57</v>
      </c>
      <c r="D77" s="336">
        <v>170402640</v>
      </c>
      <c r="E77" s="269"/>
      <c r="F77" s="526">
        <v>37304828</v>
      </c>
      <c r="G77" s="535"/>
      <c r="H77" s="535"/>
      <c r="I77" s="536">
        <f t="shared" si="93"/>
        <v>37304828</v>
      </c>
      <c r="J77" s="536">
        <v>35539963</v>
      </c>
      <c r="K77" s="374">
        <f t="shared" si="96"/>
        <v>-1764865</v>
      </c>
      <c r="L77" s="374">
        <f t="shared" si="97"/>
        <v>-1764865</v>
      </c>
      <c r="M77" s="374">
        <f t="shared" ref="M77:M80" si="102">J77-D77</f>
        <v>-134862677</v>
      </c>
      <c r="N77" s="280"/>
      <c r="O77" s="546">
        <v>0</v>
      </c>
      <c r="P77" s="452"/>
      <c r="Q77" s="452"/>
      <c r="R77" s="401">
        <f t="shared" si="94"/>
        <v>0</v>
      </c>
      <c r="S77" s="401">
        <v>0</v>
      </c>
      <c r="T77" s="187">
        <f t="shared" si="98"/>
        <v>0</v>
      </c>
      <c r="U77" s="187">
        <f t="shared" si="99"/>
        <v>0</v>
      </c>
      <c r="V77" s="260"/>
      <c r="W77" s="593">
        <v>0</v>
      </c>
      <c r="X77" s="504"/>
      <c r="Y77" s="452"/>
      <c r="Z77" s="452">
        <f t="shared" si="95"/>
        <v>0</v>
      </c>
      <c r="AA77" s="452">
        <v>0</v>
      </c>
      <c r="AB77" s="187">
        <f t="shared" si="100"/>
        <v>0</v>
      </c>
      <c r="AC77" s="187">
        <f t="shared" si="101"/>
        <v>0</v>
      </c>
    </row>
    <row r="78" spans="1:29" ht="15.75" customHeight="1" x14ac:dyDescent="0.25">
      <c r="A78" s="28" t="s">
        <v>13</v>
      </c>
      <c r="B78" s="23" t="s">
        <v>116</v>
      </c>
      <c r="C78" s="113" t="s">
        <v>130</v>
      </c>
      <c r="D78" s="336">
        <v>145000000</v>
      </c>
      <c r="E78" s="269"/>
      <c r="F78" s="526">
        <v>314736000</v>
      </c>
      <c r="G78" s="535">
        <v>27000000</v>
      </c>
      <c r="H78" s="535">
        <v>27000000</v>
      </c>
      <c r="I78" s="536">
        <f t="shared" si="93"/>
        <v>341736000</v>
      </c>
      <c r="J78" s="536">
        <v>228882042</v>
      </c>
      <c r="K78" s="374">
        <f t="shared" si="96"/>
        <v>-85853958</v>
      </c>
      <c r="L78" s="374">
        <f t="shared" si="97"/>
        <v>-112853958</v>
      </c>
      <c r="M78" s="187">
        <f t="shared" si="102"/>
        <v>83882042</v>
      </c>
      <c r="N78" s="280"/>
      <c r="O78" s="526">
        <v>385141489</v>
      </c>
      <c r="P78" s="570">
        <v>83000000</v>
      </c>
      <c r="Q78" s="570">
        <v>80000000</v>
      </c>
      <c r="R78" s="401">
        <f t="shared" si="94"/>
        <v>465141489</v>
      </c>
      <c r="S78" s="401">
        <v>249966087</v>
      </c>
      <c r="T78" s="374">
        <f t="shared" si="98"/>
        <v>-135175402</v>
      </c>
      <c r="U78" s="374">
        <f t="shared" si="99"/>
        <v>-215175402</v>
      </c>
      <c r="V78" s="269"/>
      <c r="W78" s="526">
        <v>385141489</v>
      </c>
      <c r="X78" s="570">
        <v>140000000</v>
      </c>
      <c r="Y78" s="570">
        <v>106000000</v>
      </c>
      <c r="Z78" s="452">
        <f t="shared" si="95"/>
        <v>491141489</v>
      </c>
      <c r="AA78" s="452">
        <v>234660169</v>
      </c>
      <c r="AB78" s="374">
        <f t="shared" si="100"/>
        <v>-150481320</v>
      </c>
      <c r="AC78" s="374">
        <f t="shared" si="101"/>
        <v>-256481320</v>
      </c>
    </row>
    <row r="79" spans="1:29" ht="15.75" customHeight="1" x14ac:dyDescent="0.25">
      <c r="A79" s="28" t="s">
        <v>13</v>
      </c>
      <c r="B79" s="23" t="s">
        <v>55</v>
      </c>
      <c r="C79" s="24" t="s">
        <v>58</v>
      </c>
      <c r="D79" s="336">
        <v>1127196347</v>
      </c>
      <c r="E79" s="269"/>
      <c r="F79" s="526">
        <v>555506199</v>
      </c>
      <c r="G79" s="535">
        <v>624000000</v>
      </c>
      <c r="H79" s="535">
        <v>624000000</v>
      </c>
      <c r="I79" s="536">
        <f t="shared" si="93"/>
        <v>1179506199</v>
      </c>
      <c r="J79" s="536">
        <v>982319318</v>
      </c>
      <c r="K79" s="187">
        <f t="shared" si="96"/>
        <v>426813119</v>
      </c>
      <c r="L79" s="374">
        <f t="shared" si="97"/>
        <v>-197186881</v>
      </c>
      <c r="M79" s="374">
        <f t="shared" si="102"/>
        <v>-144877029</v>
      </c>
      <c r="N79" s="280"/>
      <c r="O79" s="526">
        <v>345000000</v>
      </c>
      <c r="P79" s="570">
        <v>1200000000</v>
      </c>
      <c r="Q79" s="574">
        <f>900000000+77625904</f>
        <v>977625904</v>
      </c>
      <c r="R79" s="401">
        <f t="shared" si="94"/>
        <v>1322625904</v>
      </c>
      <c r="S79" s="401">
        <v>744288175</v>
      </c>
      <c r="T79" s="187">
        <f t="shared" si="98"/>
        <v>399288175</v>
      </c>
      <c r="U79" s="374">
        <f t="shared" si="99"/>
        <v>-578337729</v>
      </c>
      <c r="V79" s="269"/>
      <c r="W79" s="593">
        <v>0</v>
      </c>
      <c r="X79" s="504">
        <v>1695000000</v>
      </c>
      <c r="Y79" s="574">
        <f>1140000000+385500000</f>
        <v>1525500000</v>
      </c>
      <c r="Z79" s="452">
        <f t="shared" si="95"/>
        <v>1525500000</v>
      </c>
      <c r="AA79" s="452">
        <v>690891560</v>
      </c>
      <c r="AB79" s="187">
        <f t="shared" si="100"/>
        <v>690891560</v>
      </c>
      <c r="AC79" s="374">
        <f t="shared" si="101"/>
        <v>-834608440</v>
      </c>
    </row>
    <row r="80" spans="1:29" ht="15.75" customHeight="1" thickBot="1" x14ac:dyDescent="0.3">
      <c r="A80" s="181" t="s">
        <v>13</v>
      </c>
      <c r="B80" s="213" t="s">
        <v>114</v>
      </c>
      <c r="C80" s="180" t="s">
        <v>134</v>
      </c>
      <c r="D80" s="339">
        <v>100000000</v>
      </c>
      <c r="E80" s="273"/>
      <c r="F80" s="537">
        <v>450000000</v>
      </c>
      <c r="G80" s="538"/>
      <c r="H80" s="538"/>
      <c r="I80" s="536">
        <f t="shared" si="93"/>
        <v>450000000</v>
      </c>
      <c r="J80" s="536">
        <v>450000000</v>
      </c>
      <c r="K80" s="187">
        <f t="shared" si="96"/>
        <v>0</v>
      </c>
      <c r="L80" s="187">
        <f t="shared" si="97"/>
        <v>0</v>
      </c>
      <c r="M80" s="187">
        <f t="shared" si="102"/>
        <v>350000000</v>
      </c>
      <c r="N80" s="281"/>
      <c r="O80" s="537">
        <v>670000000</v>
      </c>
      <c r="P80" s="575"/>
      <c r="Q80" s="585">
        <v>100000000</v>
      </c>
      <c r="R80" s="401">
        <f t="shared" si="94"/>
        <v>770000000</v>
      </c>
      <c r="S80" s="401">
        <v>670000000</v>
      </c>
      <c r="T80" s="187">
        <f t="shared" si="98"/>
        <v>0</v>
      </c>
      <c r="U80" s="374">
        <f t="shared" si="99"/>
        <v>-100000000</v>
      </c>
      <c r="V80" s="271"/>
      <c r="W80" s="590">
        <v>670000000</v>
      </c>
      <c r="X80" s="499"/>
      <c r="Y80" s="585">
        <v>100000000</v>
      </c>
      <c r="Z80" s="452">
        <f t="shared" si="95"/>
        <v>770000000</v>
      </c>
      <c r="AA80" s="452">
        <v>760000000</v>
      </c>
      <c r="AB80" s="187">
        <f t="shared" si="100"/>
        <v>90000000</v>
      </c>
      <c r="AC80" s="374">
        <f t="shared" si="101"/>
        <v>-10000000</v>
      </c>
    </row>
    <row r="81" spans="1:29" ht="15.75" customHeight="1" thickBot="1" x14ac:dyDescent="0.3">
      <c r="A81" s="44" t="s">
        <v>13</v>
      </c>
      <c r="B81" s="45"/>
      <c r="C81" s="46" t="s">
        <v>0</v>
      </c>
      <c r="D81" s="47">
        <f>D66+D74</f>
        <v>5335948218</v>
      </c>
      <c r="E81" s="231"/>
      <c r="F81" s="437">
        <f>F66+F74</f>
        <v>5625140066</v>
      </c>
      <c r="G81" s="437">
        <f>G66+G74</f>
        <v>651000000</v>
      </c>
      <c r="H81" s="437">
        <f>H66+H74</f>
        <v>651000000</v>
      </c>
      <c r="I81" s="437">
        <f>I66+I74</f>
        <v>6276140066</v>
      </c>
      <c r="J81" s="437">
        <f>J66+J74</f>
        <v>5374190425</v>
      </c>
      <c r="K81" s="436">
        <f>J81-F81</f>
        <v>-250949641</v>
      </c>
      <c r="L81" s="436">
        <f>J81-I81</f>
        <v>-901949641</v>
      </c>
      <c r="M81" s="437">
        <f>J81-D81</f>
        <v>38242207</v>
      </c>
      <c r="N81" s="231"/>
      <c r="O81" s="437">
        <f>O66+O74</f>
        <v>5845140066</v>
      </c>
      <c r="P81" s="437">
        <f>P66+P74</f>
        <v>2304100000</v>
      </c>
      <c r="Q81" s="437">
        <f>Q66+Q74</f>
        <v>1778625904</v>
      </c>
      <c r="R81" s="437">
        <f>R66+R74</f>
        <v>7623765970</v>
      </c>
      <c r="S81" s="437">
        <f>S66+S74</f>
        <v>4984190425</v>
      </c>
      <c r="T81" s="436">
        <f>S81-O81</f>
        <v>-860949641</v>
      </c>
      <c r="U81" s="436">
        <f>S81-R81</f>
        <v>-2639575545</v>
      </c>
      <c r="V81" s="231"/>
      <c r="W81" s="437">
        <f>W66+W74</f>
        <v>5845140066</v>
      </c>
      <c r="X81" s="437">
        <f>X66+X74</f>
        <v>2728500000</v>
      </c>
      <c r="Y81" s="437">
        <f>Y66+Y74</f>
        <v>2423077589</v>
      </c>
      <c r="Z81" s="437">
        <f>Z66+Z74</f>
        <v>8268217655</v>
      </c>
      <c r="AA81" s="437">
        <f>AA66+AA74</f>
        <v>5064190425</v>
      </c>
      <c r="AB81" s="377">
        <f>AA81-W81</f>
        <v>-780949641</v>
      </c>
      <c r="AC81" s="377">
        <f>AA81-Z81</f>
        <v>-3204027230</v>
      </c>
    </row>
    <row r="82" spans="1:29" ht="15.75" customHeight="1" thickBot="1" x14ac:dyDescent="0.3">
      <c r="A82" s="34" t="s">
        <v>14</v>
      </c>
      <c r="B82" s="35"/>
      <c r="C82" s="169" t="s">
        <v>94</v>
      </c>
      <c r="D82" s="340">
        <f>D8+D10+D13+D15+D23+D25+D35+D38+D40+D43+D55+D57+D61+D63+D65+D81</f>
        <v>18124819593</v>
      </c>
      <c r="E82" s="255"/>
      <c r="F82" s="253">
        <f>F8+F10+F13+F15+F23+F25+F35+F38+F40+F43+F55+F57+F61+F63+F65+F81</f>
        <v>18494011441</v>
      </c>
      <c r="G82" s="286">
        <f>G8+G10+G13+G15+G23+G25+G35+G38+G40+G43+G55+G57+G61+G63+G65+G81</f>
        <v>2423967835</v>
      </c>
      <c r="H82" s="287">
        <f>H8+H10+H13+H15+H23+H25+H35+H38+H40+H43+H55+H57+H61+H63+H65+H81</f>
        <v>1395356041</v>
      </c>
      <c r="I82" s="285">
        <f t="shared" ref="I82:M82" si="103">I8+I10+I13+I15+I23+I25+I35+I38+I40+I43+I55+I57+I61+I63+I65+I81</f>
        <v>19889367482</v>
      </c>
      <c r="J82" s="287">
        <f t="shared" si="103"/>
        <v>17972988511</v>
      </c>
      <c r="K82" s="463">
        <f t="shared" si="103"/>
        <v>-521022930</v>
      </c>
      <c r="L82" s="472">
        <f>J82-I82</f>
        <v>-1916378971</v>
      </c>
      <c r="M82" s="469">
        <f t="shared" si="103"/>
        <v>-151831082</v>
      </c>
      <c r="N82" s="255"/>
      <c r="O82" s="253">
        <f t="shared" ref="O82:T82" si="104">O8+O10+O13+O15+O23+O25+O35+O38+O40+O43+O55+O57+O61+O63+O65+O81</f>
        <v>18714011441</v>
      </c>
      <c r="P82" s="286">
        <f t="shared" si="104"/>
        <v>7336096604</v>
      </c>
      <c r="Q82" s="287">
        <f t="shared" si="104"/>
        <v>3968048554</v>
      </c>
      <c r="R82" s="285">
        <f t="shared" si="104"/>
        <v>22682059995</v>
      </c>
      <c r="S82" s="287">
        <f t="shared" si="104"/>
        <v>17129748511</v>
      </c>
      <c r="T82" s="463">
        <f t="shared" si="104"/>
        <v>-1584262930</v>
      </c>
      <c r="U82" s="472">
        <f>S82-R82</f>
        <v>-5552311484</v>
      </c>
      <c r="V82" s="255"/>
      <c r="W82" s="253">
        <f t="shared" ref="W82:AB82" si="105">W8+W10+W13+W15+W23+W25+W35+W38+W40+W43+W55+W57+W61+W63+W65+W81</f>
        <v>18714011441</v>
      </c>
      <c r="X82" s="286">
        <f t="shared" si="105"/>
        <v>8494342547</v>
      </c>
      <c r="Y82" s="287">
        <f t="shared" si="105"/>
        <v>4860740239</v>
      </c>
      <c r="Z82" s="285">
        <f t="shared" si="105"/>
        <v>23574751680</v>
      </c>
      <c r="AA82" s="287">
        <f t="shared" si="105"/>
        <v>17214748511</v>
      </c>
      <c r="AB82" s="465">
        <f t="shared" si="105"/>
        <v>-1499262930</v>
      </c>
      <c r="AC82" s="471">
        <f>AA82-Z82</f>
        <v>-6360003169</v>
      </c>
    </row>
    <row r="83" spans="1:29" ht="7.5" customHeight="1" thickBot="1" x14ac:dyDescent="0.3">
      <c r="A83" s="88"/>
      <c r="B83" s="89"/>
      <c r="C83" s="90"/>
      <c r="D83" s="91"/>
      <c r="E83" s="274"/>
      <c r="F83" s="91"/>
      <c r="G83" s="91"/>
      <c r="H83" s="91"/>
      <c r="I83" s="91"/>
      <c r="J83" s="91"/>
      <c r="K83" s="91"/>
      <c r="L83" s="91"/>
      <c r="M83" s="91"/>
      <c r="N83" s="274"/>
      <c r="O83" s="91"/>
      <c r="P83" s="91"/>
      <c r="Q83" s="91"/>
      <c r="R83" s="91"/>
      <c r="S83" s="91"/>
      <c r="T83" s="91"/>
      <c r="U83" s="91"/>
      <c r="V83" s="274"/>
      <c r="W83" s="91"/>
      <c r="X83" s="91"/>
      <c r="Y83" s="91"/>
      <c r="Z83" s="91"/>
      <c r="AA83" s="91"/>
      <c r="AB83" s="91"/>
      <c r="AC83" s="91"/>
    </row>
    <row r="84" spans="1:29" ht="15.75" customHeight="1" thickBot="1" x14ac:dyDescent="0.3">
      <c r="A84" s="155" t="s">
        <v>14</v>
      </c>
      <c r="B84" s="156"/>
      <c r="C84" s="156" t="s">
        <v>95</v>
      </c>
      <c r="D84" s="248">
        <f>'B. Institucionální podpora'!D65+'C. Účelová podpora'!D82</f>
        <v>43305157456</v>
      </c>
      <c r="E84" s="232"/>
      <c r="F84" s="565">
        <f>'B. Institucionální podpora'!F65+'C. Účelová podpora'!F82</f>
        <v>43655157456</v>
      </c>
      <c r="G84" s="566">
        <f>'B. Institucionální podpora'!G65+'C. Účelová podpora'!G82</f>
        <v>4597955259</v>
      </c>
      <c r="H84" s="567">
        <f>'B. Institucionální podpora'!H65+'C. Účelová podpora'!H82</f>
        <v>3115067026.4399996</v>
      </c>
      <c r="I84" s="568">
        <f>'B. Institucionální podpora'!I65+'C. Účelová podpora'!I82</f>
        <v>46770224482.440002</v>
      </c>
      <c r="J84" s="634">
        <f>'B. Institucionální podpora'!J65+'C. Účelová podpora'!J82</f>
        <v>43518971688</v>
      </c>
      <c r="K84" s="464">
        <f>'B. Institucionální podpora'!K65+'C. Účelová podpora'!K82</f>
        <v>-136185768</v>
      </c>
      <c r="L84" s="474">
        <f>J84-I84</f>
        <v>-3251252794.4400024</v>
      </c>
      <c r="M84" s="632">
        <f>'B. Institucionální podpora'!M65+'C. Účelová podpora'!M82</f>
        <v>213814232</v>
      </c>
      <c r="N84" s="232"/>
      <c r="O84" s="565">
        <f>'B. Institucionální podpora'!O65+'C. Účelová podpora'!O82</f>
        <v>43875157455.919998</v>
      </c>
      <c r="P84" s="566">
        <f>'B. Institucionální podpora'!P65+'C. Účelová podpora'!P82</f>
        <v>10145266983</v>
      </c>
      <c r="Q84" s="567">
        <f>'B. Institucionální podpora'!Q65+'C. Účelová podpora'!Q82</f>
        <v>6209412405.5680008</v>
      </c>
      <c r="R84" s="568">
        <f>'B. Institucionální podpora'!R65+'C. Účelová podpora'!R82</f>
        <v>50084569861.487999</v>
      </c>
      <c r="S84" s="634">
        <f>'B. Institucionální podpora'!S65+'C. Účelová podpora'!S82</f>
        <v>40967027144</v>
      </c>
      <c r="T84" s="464">
        <f>'B. Institucionální podpora'!T65+'C. Účelová podpora'!T82</f>
        <v>-2908130311.9199982</v>
      </c>
      <c r="U84" s="586">
        <f>S84-R84</f>
        <v>-9117542717.487999</v>
      </c>
      <c r="V84" s="232"/>
      <c r="W84" s="565">
        <f>'B. Institucionální podpora'!W65+'C. Účelová podpora'!W82</f>
        <v>43875157455.919998</v>
      </c>
      <c r="X84" s="566">
        <f>'B. Institucionální podpora'!X65+'C. Účelová podpora'!X82</f>
        <v>11599745706</v>
      </c>
      <c r="Y84" s="567">
        <f>'B. Institucionální podpora'!Y65+'C. Účelová podpora'!Y82</f>
        <v>6468880090.5679998</v>
      </c>
      <c r="Z84" s="568">
        <f>'B. Institucionální podpora'!Z65+'C. Účelová podpora'!Z82</f>
        <v>50344037546.487999</v>
      </c>
      <c r="AA84" s="634">
        <f>'B. Institucionální podpora'!AA65+'C. Účelová podpora'!AA82</f>
        <v>41068027144</v>
      </c>
      <c r="AB84" s="464">
        <f>'B. Institucionální podpora'!AB65+'C. Účelová podpora'!AB82</f>
        <v>-2807130311.9199982</v>
      </c>
      <c r="AC84" s="586">
        <f>AA84-Z84</f>
        <v>-9276010402.487999</v>
      </c>
    </row>
    <row r="85" spans="1:29" ht="6" customHeight="1" thickBot="1" x14ac:dyDescent="0.3">
      <c r="A85" s="97"/>
      <c r="B85" s="97"/>
      <c r="C85" s="97"/>
      <c r="D85" s="98"/>
      <c r="E85" s="275"/>
      <c r="F85" s="569"/>
      <c r="G85" s="569"/>
      <c r="H85" s="569"/>
      <c r="I85" s="569"/>
      <c r="J85" s="635"/>
      <c r="K85" s="569"/>
      <c r="L85" s="569"/>
      <c r="M85" s="633"/>
      <c r="N85" s="275"/>
      <c r="O85" s="569"/>
      <c r="P85" s="569"/>
      <c r="Q85" s="569"/>
      <c r="R85" s="569"/>
      <c r="S85" s="635"/>
      <c r="T85" s="569"/>
      <c r="U85" s="569"/>
      <c r="V85" s="275"/>
      <c r="W85" s="569"/>
      <c r="X85" s="569"/>
      <c r="Y85" s="569"/>
      <c r="Z85" s="569"/>
      <c r="AA85" s="635"/>
      <c r="AB85" s="569"/>
      <c r="AC85" s="569"/>
    </row>
    <row r="86" spans="1:29" ht="15" hidden="1" customHeight="1" thickBot="1" x14ac:dyDescent="0.3">
      <c r="A86" s="97"/>
      <c r="B86" s="97"/>
      <c r="C86" s="347" t="s">
        <v>179</v>
      </c>
      <c r="D86" s="98"/>
      <c r="E86" s="98"/>
      <c r="F86" s="98"/>
      <c r="G86" s="98"/>
      <c r="H86" s="98"/>
      <c r="I86" s="98">
        <v>46667712392.900002</v>
      </c>
      <c r="J86" s="98"/>
      <c r="K86" s="98"/>
      <c r="L86" s="98"/>
      <c r="M86" s="98"/>
      <c r="N86" s="98"/>
      <c r="O86" s="98"/>
      <c r="P86" s="98"/>
      <c r="Q86" s="98"/>
      <c r="R86" s="98">
        <v>49885893140.064796</v>
      </c>
      <c r="S86" s="98"/>
      <c r="T86" s="98"/>
      <c r="U86" s="98"/>
      <c r="V86" s="98"/>
      <c r="W86" s="98"/>
      <c r="X86" s="98"/>
      <c r="Y86" s="98"/>
      <c r="Z86" s="98">
        <v>49885909140.064796</v>
      </c>
      <c r="AA86" s="98"/>
      <c r="AB86" s="98"/>
      <c r="AC86" s="98"/>
    </row>
    <row r="87" spans="1:29" ht="15" hidden="1" customHeight="1" x14ac:dyDescent="0.25">
      <c r="A87" s="97"/>
      <c r="B87" s="97"/>
      <c r="C87" s="348" t="s">
        <v>180</v>
      </c>
      <c r="D87" s="98"/>
      <c r="E87" s="98"/>
      <c r="F87" s="98"/>
      <c r="G87" s="98"/>
      <c r="H87" s="98"/>
      <c r="I87" s="349">
        <f>I84-I86</f>
        <v>102512089.54000092</v>
      </c>
      <c r="J87" s="349"/>
      <c r="K87" s="349"/>
      <c r="L87" s="349"/>
      <c r="M87" s="349"/>
      <c r="N87" s="98"/>
      <c r="O87" s="98"/>
      <c r="P87" s="98"/>
      <c r="Q87" s="98"/>
      <c r="R87" s="349">
        <f>R84-R86</f>
        <v>198676721.42320251</v>
      </c>
      <c r="S87" s="349"/>
      <c r="T87" s="349"/>
      <c r="U87" s="349"/>
      <c r="V87" s="98"/>
      <c r="W87" s="98"/>
      <c r="X87" s="98"/>
      <c r="Y87" s="98"/>
      <c r="Z87" s="349">
        <f>Z84-Z86</f>
        <v>458128406.42320251</v>
      </c>
      <c r="AA87" s="349"/>
      <c r="AB87" s="349"/>
      <c r="AC87" s="349"/>
    </row>
    <row r="88" spans="1:29" ht="15" hidden="1" customHeight="1" x14ac:dyDescent="0.25">
      <c r="A88" s="97"/>
      <c r="B88" s="97"/>
      <c r="C88" s="348"/>
      <c r="D88" s="98"/>
      <c r="E88" s="98"/>
      <c r="F88" s="98"/>
      <c r="G88" s="98"/>
      <c r="H88" s="98"/>
      <c r="I88" s="349"/>
      <c r="J88" s="349"/>
      <c r="K88" s="349"/>
      <c r="L88" s="349"/>
      <c r="M88" s="349"/>
      <c r="N88" s="98"/>
      <c r="O88" s="98"/>
      <c r="P88" s="98"/>
      <c r="Q88" s="98"/>
      <c r="R88" s="349"/>
      <c r="S88" s="349"/>
      <c r="T88" s="349"/>
      <c r="U88" s="349"/>
      <c r="V88" s="98"/>
      <c r="W88" s="98"/>
      <c r="X88" s="98"/>
      <c r="Y88" s="98"/>
      <c r="Z88" s="349"/>
      <c r="AA88" s="349"/>
      <c r="AB88" s="349"/>
      <c r="AC88" s="349"/>
    </row>
    <row r="89" spans="1:29" ht="15" hidden="1" customHeight="1" x14ac:dyDescent="0.25">
      <c r="A89" s="97"/>
      <c r="B89" s="97"/>
      <c r="C89" s="348"/>
      <c r="D89" s="98"/>
      <c r="E89" s="98"/>
      <c r="F89" s="98"/>
      <c r="G89" s="355" t="s">
        <v>183</v>
      </c>
      <c r="H89" s="98"/>
      <c r="I89" s="355">
        <f>I84-D84</f>
        <v>3465067026.4400024</v>
      </c>
      <c r="J89" s="355"/>
      <c r="K89" s="355"/>
      <c r="L89" s="355"/>
      <c r="M89" s="355"/>
      <c r="N89" s="98"/>
      <c r="O89" s="98"/>
      <c r="P89" s="355" t="s">
        <v>185</v>
      </c>
      <c r="Q89" s="355"/>
      <c r="R89" s="355">
        <f>R84-I84</f>
        <v>3314345379.0479965</v>
      </c>
      <c r="S89" s="355"/>
      <c r="T89" s="355"/>
      <c r="U89" s="355"/>
      <c r="V89" s="98"/>
      <c r="W89" s="98"/>
      <c r="X89" s="355" t="s">
        <v>187</v>
      </c>
      <c r="Y89" s="355"/>
      <c r="Z89" s="355">
        <f>Z84-R84</f>
        <v>259467685</v>
      </c>
      <c r="AA89" s="355"/>
      <c r="AB89" s="355"/>
      <c r="AC89" s="355"/>
    </row>
    <row r="90" spans="1:29" ht="15" hidden="1" customHeight="1" x14ac:dyDescent="0.25">
      <c r="A90" s="97"/>
      <c r="B90" s="97"/>
      <c r="C90" s="348"/>
      <c r="D90" s="98"/>
      <c r="E90" s="98"/>
      <c r="F90" s="98"/>
      <c r="G90" s="355" t="s">
        <v>184</v>
      </c>
      <c r="H90" s="98"/>
      <c r="I90" s="355">
        <f>I84-F84</f>
        <v>3115067026.4400024</v>
      </c>
      <c r="J90" s="355"/>
      <c r="K90" s="355"/>
      <c r="L90" s="355"/>
      <c r="M90" s="355"/>
      <c r="N90" s="98"/>
      <c r="O90" s="98"/>
      <c r="P90" s="355" t="s">
        <v>186</v>
      </c>
      <c r="Q90" s="355"/>
      <c r="R90" s="355">
        <f>R84-O84</f>
        <v>6209412405.5680008</v>
      </c>
      <c r="S90" s="355"/>
      <c r="T90" s="355"/>
      <c r="U90" s="355"/>
      <c r="V90" s="98"/>
      <c r="W90" s="98"/>
      <c r="X90" s="98"/>
      <c r="Y90" s="98"/>
      <c r="Z90" s="349"/>
      <c r="AA90" s="355"/>
      <c r="AB90" s="355"/>
      <c r="AC90" s="355"/>
    </row>
    <row r="91" spans="1:29" ht="15" hidden="1" customHeight="1" x14ac:dyDescent="0.25">
      <c r="A91" s="97"/>
      <c r="B91" s="97"/>
      <c r="C91" s="348"/>
      <c r="D91" s="98"/>
      <c r="E91" s="98"/>
      <c r="F91" s="98"/>
      <c r="G91" s="98"/>
      <c r="H91" s="98"/>
      <c r="I91" s="349"/>
      <c r="J91" s="349"/>
      <c r="K91" s="349"/>
      <c r="L91" s="349"/>
      <c r="M91" s="349"/>
      <c r="N91" s="98"/>
      <c r="O91" s="98"/>
      <c r="P91" s="98"/>
      <c r="Q91" s="98"/>
      <c r="R91" s="349"/>
      <c r="S91" s="349"/>
      <c r="T91" s="349"/>
      <c r="U91" s="349"/>
      <c r="V91" s="98"/>
      <c r="W91" s="98"/>
      <c r="X91" s="98"/>
      <c r="Y91" s="98"/>
      <c r="Z91" s="349"/>
      <c r="AA91" s="349"/>
      <c r="AB91" s="349"/>
      <c r="AC91" s="349"/>
    </row>
    <row r="92" spans="1:29" ht="6" hidden="1" customHeight="1" x14ac:dyDescent="0.25">
      <c r="A92" s="97"/>
      <c r="B92" s="97"/>
      <c r="C92" s="347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</row>
    <row r="93" spans="1:29" ht="15" hidden="1" customHeight="1" x14ac:dyDescent="0.25">
      <c r="A93" s="223" t="s">
        <v>160</v>
      </c>
    </row>
    <row r="94" spans="1:29" ht="15" hidden="1" customHeight="1" x14ac:dyDescent="0.25">
      <c r="A94" s="344" t="s">
        <v>178</v>
      </c>
      <c r="X94" s="358"/>
    </row>
    <row r="95" spans="1:29" ht="15" hidden="1" customHeight="1" x14ac:dyDescent="0.25">
      <c r="A95" s="346"/>
    </row>
    <row r="96" spans="1:29" ht="15.75" hidden="1" customHeight="1" x14ac:dyDescent="0.25">
      <c r="A96" s="350" t="s">
        <v>193</v>
      </c>
    </row>
    <row r="97" spans="1:29" ht="3.6" hidden="1" customHeight="1" x14ac:dyDescent="0.25">
      <c r="A97" s="351"/>
    </row>
    <row r="98" spans="1:29" ht="15" hidden="1" customHeight="1" x14ac:dyDescent="0.25">
      <c r="A98" s="345" t="s">
        <v>176</v>
      </c>
    </row>
    <row r="99" spans="1:29" ht="4.5" hidden="1" customHeight="1" x14ac:dyDescent="0.25"/>
    <row r="100" spans="1:29" ht="15" hidden="1" customHeight="1" x14ac:dyDescent="0.25">
      <c r="A100" s="345" t="s">
        <v>194</v>
      </c>
    </row>
    <row r="101" spans="1:29" ht="4.5" hidden="1" customHeight="1" x14ac:dyDescent="0.25"/>
    <row r="102" spans="1:29" ht="15" hidden="1" customHeight="1" x14ac:dyDescent="0.25">
      <c r="A102" s="354" t="s">
        <v>195</v>
      </c>
    </row>
    <row r="103" spans="1:29" ht="15" hidden="1" customHeight="1" x14ac:dyDescent="0.25"/>
    <row r="104" spans="1:29" ht="15" customHeight="1" x14ac:dyDescent="0.25"/>
    <row r="106" spans="1:29" hidden="1" x14ac:dyDescent="0.25">
      <c r="G106" s="125"/>
      <c r="H106" s="402" t="s">
        <v>210</v>
      </c>
      <c r="I106" s="403">
        <f>I84-F84</f>
        <v>3115067026.4400024</v>
      </c>
      <c r="K106" s="184"/>
      <c r="L106" s="184"/>
    </row>
    <row r="107" spans="1:29" x14ac:dyDescent="0.25">
      <c r="A107" s="456" t="s">
        <v>228</v>
      </c>
      <c r="G107" s="125"/>
      <c r="H107" s="125"/>
      <c r="K107" s="184"/>
      <c r="L107" s="184"/>
    </row>
    <row r="108" spans="1:29" ht="5.25" customHeight="1" x14ac:dyDescent="0.25"/>
    <row r="109" spans="1:29" x14ac:dyDescent="0.25">
      <c r="A109" s="448" t="s">
        <v>225</v>
      </c>
      <c r="AB109" s="184"/>
    </row>
    <row r="110" spans="1:29" ht="6.75" customHeight="1" x14ac:dyDescent="0.25">
      <c r="AB110" s="184"/>
    </row>
    <row r="111" spans="1:29" s="457" customFormat="1" x14ac:dyDescent="0.25">
      <c r="A111" s="458" t="s">
        <v>226</v>
      </c>
      <c r="D111" s="102"/>
      <c r="E111" s="102"/>
      <c r="F111" s="102"/>
      <c r="G111" s="102"/>
      <c r="H111" s="102"/>
      <c r="I111" s="102"/>
      <c r="J111" s="102"/>
      <c r="K111" s="102"/>
      <c r="L111" s="102"/>
      <c r="M111" s="184"/>
      <c r="N111" s="102"/>
      <c r="O111" s="102"/>
      <c r="P111" s="102"/>
      <c r="Q111" s="102"/>
      <c r="R111" s="102"/>
      <c r="S111" s="102"/>
      <c r="T111" s="184"/>
      <c r="U111" s="102"/>
      <c r="V111" s="102"/>
      <c r="W111" s="102"/>
      <c r="X111" s="102"/>
      <c r="Y111" s="102"/>
      <c r="Z111" s="102"/>
      <c r="AA111" s="102"/>
      <c r="AB111" s="102"/>
      <c r="AC111" s="102"/>
    </row>
    <row r="112" spans="1:29" x14ac:dyDescent="0.25">
      <c r="M112" s="184"/>
      <c r="T112" s="184"/>
    </row>
  </sheetData>
  <mergeCells count="9">
    <mergeCell ref="M84:M85"/>
    <mergeCell ref="AA84:AA85"/>
    <mergeCell ref="S84:S85"/>
    <mergeCell ref="J84:J85"/>
    <mergeCell ref="A66:C66"/>
    <mergeCell ref="A74:C74"/>
    <mergeCell ref="F4:M4"/>
    <mergeCell ref="O4:U4"/>
    <mergeCell ref="W4:AC4"/>
  </mergeCells>
  <pageMargins left="0.31496062992125984" right="0.11811023622047245" top="0.39370078740157483" bottom="0.19685039370078741" header="0.11811023622047245" footer="0.11811023622047245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A. Celkové výdaje</vt:lpstr>
      <vt:lpstr>B. Institucionální podpora</vt:lpstr>
      <vt:lpstr>C. Účelová podpora</vt:lpstr>
      <vt:lpstr>'B. Institucionální podpora'!Názvy_tisku</vt:lpstr>
      <vt:lpstr>'A. Celkové výdaje'!Oblast_tisku</vt:lpstr>
      <vt:lpstr>'B. Institucionální podpora'!Oblast_tisku</vt:lpstr>
      <vt:lpstr>'C. Účelová podpora'!Oblast_tisku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2014-12-17T10:04:16Z</cp:lastPrinted>
  <dcterms:created xsi:type="dcterms:W3CDTF">2014-12-03T11:28:09Z</dcterms:created>
  <dcterms:modified xsi:type="dcterms:W3CDTF">2025-09-10T15:30:02Z</dcterms:modified>
</cp:coreProperties>
</file>